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1355" windowHeight="5640" activeTab="0"/>
  </bookViews>
  <sheets>
    <sheet name="Hoja1" sheetId="1" r:id="rId1"/>
    <sheet name="Hoja2" sheetId="2" r:id="rId2"/>
    <sheet name="Hoja3" sheetId="3" r:id="rId3"/>
  </sheets>
  <externalReferences>
    <externalReference r:id="rId6"/>
  </externalReferences>
  <definedNames/>
  <calcPr fullCalcOnLoad="1"/>
</workbook>
</file>

<file path=xl/comments1.xml><?xml version="1.0" encoding="utf-8"?>
<comments xmlns="http://schemas.openxmlformats.org/spreadsheetml/2006/main">
  <authors>
    <author>Usuario</author>
  </authors>
  <commentList>
    <comment ref="B8" authorId="0">
      <text>
        <r>
          <rPr>
            <sz val="8"/>
            <color indexed="59"/>
            <rFont val="Tahoma"/>
            <family val="2"/>
          </rPr>
          <t xml:space="preserve">
</t>
        </r>
        <r>
          <rPr>
            <sz val="10"/>
            <color indexed="59"/>
            <rFont val="Tahoma"/>
            <family val="2"/>
          </rPr>
          <t>UTA:  Precio de Mercado</t>
        </r>
      </text>
    </comment>
    <comment ref="B10" authorId="0">
      <text>
        <r>
          <rPr>
            <sz val="8"/>
            <color indexed="59"/>
            <rFont val="Tahoma"/>
            <family val="2"/>
          </rPr>
          <t xml:space="preserve">
</t>
        </r>
        <r>
          <rPr>
            <sz val="10"/>
            <color indexed="59"/>
            <rFont val="Tahoma"/>
            <family val="2"/>
          </rPr>
          <t>Introducir el Precio Final. El Precio Neto se autocalcula deducidos los Reintegros Impositivos (ITC + IVA).</t>
        </r>
      </text>
    </comment>
    <comment ref="B16" authorId="0">
      <text>
        <r>
          <rPr>
            <sz val="8"/>
            <color indexed="59"/>
            <rFont val="Tahoma"/>
            <family val="2"/>
          </rPr>
          <t xml:space="preserve">
</t>
        </r>
        <r>
          <rPr>
            <sz val="10"/>
            <color indexed="59"/>
            <rFont val="Tahoma"/>
            <family val="2"/>
          </rPr>
          <t>Precio Arroz Cáscara Seco en Chacra.</t>
        </r>
      </text>
    </comment>
    <comment ref="B19" authorId="0">
      <text>
        <r>
          <rPr>
            <b/>
            <sz val="10"/>
            <color indexed="59"/>
            <rFont val="Tahoma"/>
            <family val="2"/>
          </rPr>
          <t>Costos de Producción:</t>
        </r>
        <r>
          <rPr>
            <sz val="10"/>
            <color indexed="59"/>
            <rFont val="Tahoma"/>
            <family val="2"/>
          </rPr>
          <t xml:space="preserve"> todos los conceptos son expresados como Costos por Hectárea (Costo Unitario = Costo por Hectárea).</t>
        </r>
      </text>
    </comment>
    <comment ref="B20" authorId="0">
      <text>
        <r>
          <rPr>
            <b/>
            <sz val="10"/>
            <color indexed="59"/>
            <rFont val="Tahoma"/>
            <family val="2"/>
          </rPr>
          <t>Costos Variables :</t>
        </r>
        <r>
          <rPr>
            <sz val="10"/>
            <color indexed="59"/>
            <rFont val="Tahoma"/>
            <family val="2"/>
          </rPr>
          <t xml:space="preserve"> varían en función a la cantidad de hectáreas.
</t>
        </r>
        <r>
          <rPr>
            <b/>
            <sz val="10"/>
            <color indexed="59"/>
            <rFont val="Tahoma"/>
            <family val="2"/>
          </rPr>
          <t>Porcentaje de Área a tratar:</t>
        </r>
        <r>
          <rPr>
            <sz val="10"/>
            <color indexed="59"/>
            <rFont val="Tahoma"/>
            <family val="2"/>
          </rPr>
          <t xml:space="preserve"> se refiere a la proporción de superficie que va a recibir el tratamiento correspondiente.
</t>
        </r>
        <r>
          <rPr>
            <b/>
            <sz val="10"/>
            <color indexed="59"/>
            <rFont val="Tahoma"/>
            <family val="2"/>
          </rPr>
          <t>Coeficiente de UTA:</t>
        </r>
        <r>
          <rPr>
            <sz val="10"/>
            <color indexed="59"/>
            <rFont val="Tahoma"/>
            <family val="2"/>
          </rPr>
          <t xml:space="preserve"> se refiere a la cantidad de UTAS consumidas en la superficie tratada.</t>
        </r>
      </text>
    </comment>
    <comment ref="B52" authorId="0">
      <text>
        <r>
          <rPr>
            <sz val="10"/>
            <color indexed="59"/>
            <rFont val="Tahoma"/>
            <family val="2"/>
          </rPr>
          <t>Incluye sólo aquellos utilizados en la Implantación.
Se deben completar sólo las dosis de el/los productos que se van a aplicar.</t>
        </r>
        <r>
          <rPr>
            <sz val="8"/>
            <color indexed="59"/>
            <rFont val="Tahoma"/>
            <family val="2"/>
          </rPr>
          <t xml:space="preserve">
</t>
        </r>
      </text>
    </comment>
    <comment ref="B75" authorId="0">
      <text>
        <r>
          <rPr>
            <b/>
            <sz val="10"/>
            <color indexed="59"/>
            <rFont val="Tahoma"/>
            <family val="2"/>
          </rPr>
          <t>Relación de Cambio:</t>
        </r>
        <r>
          <rPr>
            <sz val="10"/>
            <color indexed="59"/>
            <rFont val="Tahoma"/>
            <family val="2"/>
          </rPr>
          <t xml:space="preserve"> se debe introducir la cantidad de Kg de Arroz Cáscara para comprar un Kg de Semilla. El precio  de la semilla se autocalcula en función a esta relación.</t>
        </r>
      </text>
    </comment>
    <comment ref="B82" authorId="0">
      <text>
        <r>
          <rPr>
            <sz val="10"/>
            <color indexed="59"/>
            <rFont val="Tahoma"/>
            <family val="2"/>
          </rPr>
          <t>Incluye canales de riego y drenaje, caminos y obras de arte. El valor de referencia se aplica en un planteo de rotación previendo un uso de suelo de 3 años. No están incluidas obras principales</t>
        </r>
      </text>
    </comment>
    <comment ref="B87" authorId="0">
      <text>
        <r>
          <rPr>
            <sz val="10"/>
            <color indexed="59"/>
            <rFont val="Tahoma"/>
            <family val="2"/>
          </rPr>
          <t xml:space="preserve">Según la información disponible debe optarse por completar </t>
        </r>
        <r>
          <rPr>
            <b/>
            <sz val="10"/>
            <color indexed="59"/>
            <rFont val="Tahoma"/>
            <family val="2"/>
          </rPr>
          <t>sólo una</t>
        </r>
        <r>
          <rPr>
            <sz val="10"/>
            <color indexed="59"/>
            <rFont val="Tahoma"/>
            <family val="2"/>
          </rPr>
          <t xml:space="preserve"> de las celdas en blanco. Asegurarse de que la restante presente el valor cero para evitar doble contabilización.</t>
        </r>
      </text>
    </comment>
    <comment ref="B94" authorId="0">
      <text>
        <r>
          <rPr>
            <sz val="10"/>
            <color indexed="59"/>
            <rFont val="Tahoma"/>
            <family val="2"/>
          </rPr>
          <t xml:space="preserve">Incluye servicios de mantenimiento y reparaciones de equipos usados (en su mayoría ya amortizados), lo que supone montos amortizables bajos. En proyectos con equipos nuevos el costo de reparación y mantenimiento baja y las amortizaciones deberían tomarse por separado. En la sección de Costos Fijos se incluye una partida </t>
        </r>
        <r>
          <rPr>
            <i/>
            <sz val="10"/>
            <color indexed="59"/>
            <rFont val="Tahoma"/>
            <family val="2"/>
          </rPr>
          <t>Otras amortizaciones</t>
        </r>
        <r>
          <rPr>
            <sz val="10"/>
            <color indexed="59"/>
            <rFont val="Tahoma"/>
            <family val="2"/>
          </rPr>
          <t xml:space="preserve"> a ser utilizada, entre otros, en este último caso.</t>
        </r>
      </text>
    </comment>
    <comment ref="B98" authorId="0">
      <text>
        <r>
          <rPr>
            <sz val="10"/>
            <color indexed="59"/>
            <rFont val="Tahoma"/>
            <family val="2"/>
          </rPr>
          <t xml:space="preserve">Optar por </t>
        </r>
        <r>
          <rPr>
            <b/>
            <sz val="10"/>
            <color indexed="59"/>
            <rFont val="Tahoma"/>
            <family val="2"/>
          </rPr>
          <t>una</t>
        </r>
        <r>
          <rPr>
            <sz val="10"/>
            <color indexed="59"/>
            <rFont val="Tahoma"/>
            <family val="2"/>
          </rPr>
          <t xml:space="preserve"> de las opciones numeradas entre paréntesis, según la forma de pago utilizada. Asegurarse de que la restante opción contenga el valor cero. Las celdas no numeradas deben ser completadas independientemente de la alternativa seleccionada.
Los valores a introducir deben referirse a </t>
        </r>
        <r>
          <rPr>
            <b/>
            <sz val="10"/>
            <color indexed="59"/>
            <rFont val="Tahoma"/>
            <family val="2"/>
          </rPr>
          <t>un</t>
        </r>
        <r>
          <rPr>
            <sz val="10"/>
            <color indexed="59"/>
            <rFont val="Tahoma"/>
            <family val="2"/>
          </rPr>
          <t xml:space="preserve"> Encargado y no al plantel en conjunto.</t>
        </r>
      </text>
    </comment>
    <comment ref="B105" authorId="0">
      <text>
        <r>
          <rPr>
            <sz val="10"/>
            <color indexed="59"/>
            <rFont val="Tahoma"/>
            <family val="2"/>
          </rPr>
          <t xml:space="preserve">Optar por </t>
        </r>
        <r>
          <rPr>
            <b/>
            <sz val="10"/>
            <color indexed="59"/>
            <rFont val="Tahoma"/>
            <family val="2"/>
          </rPr>
          <t>una</t>
        </r>
        <r>
          <rPr>
            <sz val="10"/>
            <color indexed="59"/>
            <rFont val="Tahoma"/>
            <family val="2"/>
          </rPr>
          <t xml:space="preserve"> de las opciones numeradas entre paréntesis, según la forma de pago utilizada. Asegurarse de que la restante opción contenga el valor cero. Las celdas no numeradas deben ser completadas independientemente de la alternativa seleccionada.
Los valores a introducir deben referirse a </t>
        </r>
        <r>
          <rPr>
            <b/>
            <sz val="10"/>
            <color indexed="59"/>
            <rFont val="Tahoma"/>
            <family val="2"/>
          </rPr>
          <t>un</t>
        </r>
        <r>
          <rPr>
            <sz val="10"/>
            <color indexed="59"/>
            <rFont val="Tahoma"/>
            <family val="2"/>
          </rPr>
          <t xml:space="preserve"> Aguador y no al plantel en conjunto.</t>
        </r>
      </text>
    </comment>
    <comment ref="B166" authorId="0">
      <text>
        <r>
          <rPr>
            <b/>
            <sz val="10"/>
            <color indexed="59"/>
            <rFont val="Tahoma"/>
            <family val="2"/>
          </rPr>
          <t xml:space="preserve">Producción Transportada a Secadero: </t>
        </r>
        <r>
          <rPr>
            <sz val="10"/>
            <color indexed="59"/>
            <rFont val="Tahoma"/>
            <family val="2"/>
          </rPr>
          <t xml:space="preserve">se refiere a aquella proporción de la misma que se destina a Secadero fuera de chacra y por lo tanto genera costo de flete. </t>
        </r>
      </text>
    </comment>
    <comment ref="B175" authorId="0">
      <text>
        <r>
          <rPr>
            <sz val="10"/>
            <color indexed="59"/>
            <rFont val="Tahoma"/>
            <family val="2"/>
          </rPr>
          <t xml:space="preserve">Completar sólo </t>
        </r>
        <r>
          <rPr>
            <b/>
            <sz val="10"/>
            <color indexed="59"/>
            <rFont val="Tahoma"/>
            <family val="2"/>
          </rPr>
          <t>una</t>
        </r>
        <r>
          <rPr>
            <sz val="10"/>
            <color indexed="59"/>
            <rFont val="Tahoma"/>
            <family val="2"/>
          </rPr>
          <t xml:space="preserve"> de las opciones, según la forma de pago utilizada. Asegurarse que la restante contenga el valor cero.</t>
        </r>
      </text>
    </comment>
    <comment ref="B181" authorId="0">
      <text>
        <r>
          <rPr>
            <sz val="10"/>
            <color indexed="59"/>
            <rFont val="Tahoma"/>
            <family val="2"/>
          </rPr>
          <t xml:space="preserve">Completar sólo </t>
        </r>
        <r>
          <rPr>
            <b/>
            <sz val="10"/>
            <color indexed="59"/>
            <rFont val="Tahoma"/>
            <family val="2"/>
          </rPr>
          <t>una</t>
        </r>
        <r>
          <rPr>
            <sz val="10"/>
            <color indexed="59"/>
            <rFont val="Tahoma"/>
            <family val="2"/>
          </rPr>
          <t xml:space="preserve"> de las opciones, según la forma de pago utilizada. Asegurarse que la restante contenga el valor cero.</t>
        </r>
      </text>
    </comment>
    <comment ref="B188" authorId="0">
      <text>
        <r>
          <rPr>
            <sz val="10"/>
            <color indexed="59"/>
            <rFont val="Tahoma"/>
            <family val="2"/>
          </rPr>
          <t xml:space="preserve">Incluye costos que no dependen </t>
        </r>
        <r>
          <rPr>
            <b/>
            <sz val="10"/>
            <color indexed="59"/>
            <rFont val="Tahoma"/>
            <family val="2"/>
          </rPr>
          <t>directamente</t>
        </r>
        <r>
          <rPr>
            <sz val="10"/>
            <color indexed="59"/>
            <rFont val="Tahoma"/>
            <family val="2"/>
          </rPr>
          <t xml:space="preserve"> del número de Has implantadas.</t>
        </r>
      </text>
    </comment>
    <comment ref="B190" authorId="0">
      <text>
        <r>
          <rPr>
            <sz val="10"/>
            <color indexed="59"/>
            <rFont val="Tahoma"/>
            <family val="2"/>
          </rPr>
          <t>Incluir todos los costos de movilidad tanto internos como externos a la chacra. Excluir las amortizaciones de vehículos.</t>
        </r>
      </text>
    </comment>
    <comment ref="B193" authorId="0">
      <text>
        <r>
          <rPr>
            <sz val="10"/>
            <color indexed="59"/>
            <rFont val="Tahoma"/>
            <family val="2"/>
          </rPr>
          <t>Gastos de oficina en general. Luz, Agua, Telefono, etc. Excluir Amortizaciones de Muebles, Instalaciones y Equipos.</t>
        </r>
      </text>
    </comment>
    <comment ref="B196" authorId="0">
      <text>
        <r>
          <rPr>
            <sz val="10"/>
            <color indexed="59"/>
            <rFont val="Tahoma"/>
            <family val="2"/>
          </rPr>
          <t>Encargado y personal de la oficina de administración. La celda se debe completar con el costo mensual de todo el plantel.</t>
        </r>
      </text>
    </comment>
    <comment ref="B200" authorId="0">
      <text>
        <r>
          <rPr>
            <sz val="10"/>
            <color indexed="59"/>
            <rFont val="Tahoma"/>
            <family val="2"/>
          </rPr>
          <t xml:space="preserve">Es un concepto relativamente limitado pues no incluye los montos considerados en el costo de la UTA. Por una cuestión técnica del funcionamiento del programa, las celdas correspondientes a la Vida Útil deben contener algún valor numérico en cada concepto de amortización, aún en los casos en que la inversión sea cero (como se ejemplifica en el concepto </t>
        </r>
        <r>
          <rPr>
            <i/>
            <sz val="10"/>
            <color indexed="59"/>
            <rFont val="Tahoma"/>
            <family val="2"/>
          </rPr>
          <t>Otras Amortizaciones</t>
        </r>
        <r>
          <rPr>
            <sz val="10"/>
            <color indexed="59"/>
            <rFont val="Tahoma"/>
            <family val="2"/>
          </rPr>
          <t>)</t>
        </r>
      </text>
    </comment>
    <comment ref="B205" authorId="0">
      <text>
        <r>
          <rPr>
            <sz val="10"/>
            <color indexed="59"/>
            <rFont val="Tahoma"/>
            <family val="2"/>
          </rPr>
          <t>Se refiere a Vehículos para Movilidad, Instalaciones varias, Muebles de oficina, Equipos de Comunicación, Etc.</t>
        </r>
      </text>
    </comment>
    <comment ref="B210" authorId="0">
      <text>
        <r>
          <rPr>
            <sz val="10"/>
            <color indexed="59"/>
            <rFont val="Tahoma"/>
            <family val="2"/>
          </rPr>
          <t>Previsto para Otros Conceptos no incluidos de modo discriminado, como ser equipos de bombeo en caso de ser nuevos (aún no amortizados totalmente).</t>
        </r>
      </text>
    </comment>
    <comment ref="B243" authorId="0">
      <text>
        <r>
          <rPr>
            <b/>
            <sz val="10"/>
            <color indexed="59"/>
            <rFont val="Tahoma"/>
            <family val="2"/>
          </rPr>
          <t xml:space="preserve">Nota Aclaratoria: </t>
        </r>
        <r>
          <rPr>
            <sz val="10"/>
            <color indexed="59"/>
            <rFont val="Tahoma"/>
            <family val="2"/>
          </rPr>
          <t>El Rendimiento Indiferencia, no es equivalente a la expresión en producto (kg) de los Costos Totales. Estos últimos contienen partidas (Flete a Secadero y Secado) que dependen del Rendimiento por Ha.
Por lo tanto, al igualar los Costos Totales con el Rendimiento por Ha (pasando a producto los valores monetarios, en forma directa), dichas partidas se modifican, y con ellas los propios Costos Totales.
El Rendimiento Indiferencia correcto surge de la aplicación de la fórmula presentada abajo, donde los supraíndices "nr" y "r" hacen referencia a la dependencia o no del costo variable hacia el Rendimiento por Ha.</t>
        </r>
      </text>
    </comment>
  </commentList>
</comments>
</file>

<file path=xl/sharedStrings.xml><?xml version="1.0" encoding="utf-8"?>
<sst xmlns="http://schemas.openxmlformats.org/spreadsheetml/2006/main" count="312" uniqueCount="139">
  <si>
    <t>RIEGO</t>
  </si>
  <si>
    <t>ESTRUCTURA</t>
  </si>
  <si>
    <t>FERTILIZACION</t>
  </si>
  <si>
    <t>PROTECCION</t>
  </si>
  <si>
    <t xml:space="preserve">SECADO </t>
  </si>
  <si>
    <t>RESULTADOS</t>
  </si>
  <si>
    <t>Kg/Ha</t>
  </si>
  <si>
    <t>COSECHA Y ACARREO</t>
  </si>
  <si>
    <t>$/Ha</t>
  </si>
  <si>
    <t>FLETE A SECADERO</t>
  </si>
  <si>
    <t>IMPLANTACIÓN</t>
  </si>
  <si>
    <t>.-Labores</t>
  </si>
  <si>
    <t>ARRENDAMIENTO</t>
  </si>
  <si>
    <t xml:space="preserve">TOTAL </t>
  </si>
  <si>
    <t>INGRESOS TOTALES</t>
  </si>
  <si>
    <t>MARGEN BRUTO</t>
  </si>
  <si>
    <t>RENDIMIENTO INDIFERENCIA</t>
  </si>
  <si>
    <t>AMORTIZACIONES</t>
  </si>
  <si>
    <t>.-Insumos</t>
  </si>
  <si>
    <t>MONEDA</t>
  </si>
  <si>
    <t>PRODUCTO</t>
  </si>
  <si>
    <t>CONCEPTO</t>
  </si>
  <si>
    <t>PARTICIPACION</t>
  </si>
  <si>
    <t>COSTOS TOTALES</t>
  </si>
  <si>
    <t>COSTOS VARIABLES</t>
  </si>
  <si>
    <t>COSTOS FIJOS</t>
  </si>
  <si>
    <t>Has</t>
  </si>
  <si>
    <t>IMPLANTACION</t>
  </si>
  <si>
    <t>Laser</t>
  </si>
  <si>
    <t>Taipa</t>
  </si>
  <si>
    <t>Pulverizadora</t>
  </si>
  <si>
    <t>Siembra</t>
  </si>
  <si>
    <t>Glifosato</t>
  </si>
  <si>
    <t>Cipermetrina</t>
  </si>
  <si>
    <t>Semilla</t>
  </si>
  <si>
    <t>Sistematización</t>
  </si>
  <si>
    <t>Encargado</t>
  </si>
  <si>
    <t>Urea</t>
  </si>
  <si>
    <t>Aplicación</t>
  </si>
  <si>
    <t>Insecticida</t>
  </si>
  <si>
    <t>UTA</t>
  </si>
  <si>
    <t>Precio Arroz cascara</t>
  </si>
  <si>
    <t>Final</t>
  </si>
  <si>
    <t>LABORES</t>
  </si>
  <si>
    <t>Rastra primaria.</t>
  </si>
  <si>
    <t>Porcentaje del area a tratar:</t>
  </si>
  <si>
    <t>INSUMOS</t>
  </si>
  <si>
    <t>Dosis por Ha</t>
  </si>
  <si>
    <t>Porcentaje del area a sistematizar</t>
  </si>
  <si>
    <t>Jornal</t>
  </si>
  <si>
    <t>Insumo</t>
  </si>
  <si>
    <t>Consumo por Ha</t>
  </si>
  <si>
    <t>Coeficiente de UTA</t>
  </si>
  <si>
    <t>%</t>
  </si>
  <si>
    <t>Costo por tonelada</t>
  </si>
  <si>
    <t>SECADO</t>
  </si>
  <si>
    <t>$/Tn</t>
  </si>
  <si>
    <t>$/dia</t>
  </si>
  <si>
    <t>COSTOS DE PRODUCCIÓN</t>
  </si>
  <si>
    <t>Precio Gas Oil</t>
  </si>
  <si>
    <t>$ / U$S</t>
  </si>
  <si>
    <t>Neto</t>
  </si>
  <si>
    <t>$ / Tn</t>
  </si>
  <si>
    <t>lt / Ha</t>
  </si>
  <si>
    <t>U$S / lt</t>
  </si>
  <si>
    <t>Kg / Ha</t>
  </si>
  <si>
    <t>$ / Kg</t>
  </si>
  <si>
    <t>Costo</t>
  </si>
  <si>
    <t>lts / Ha</t>
  </si>
  <si>
    <t>Coeficiente de reparaciones</t>
  </si>
  <si>
    <t>FERTILIZACION DE COBERTURA</t>
  </si>
  <si>
    <t>Insumos</t>
  </si>
  <si>
    <t>$ / Ha</t>
  </si>
  <si>
    <t>POST - EMERGENTES</t>
  </si>
  <si>
    <t>INSECTICIDAS</t>
  </si>
  <si>
    <t>Producción trasportada a secadero:</t>
  </si>
  <si>
    <t>Costo del transporte</t>
  </si>
  <si>
    <t>INGRESOS</t>
  </si>
  <si>
    <t>Administración Central</t>
  </si>
  <si>
    <t>$ / mes</t>
  </si>
  <si>
    <t>VALORES DE REFERENCIA</t>
  </si>
  <si>
    <t>5-30-20</t>
  </si>
  <si>
    <t>U$S / Kg</t>
  </si>
  <si>
    <t>Costo unitario</t>
  </si>
  <si>
    <t>VARIABLES</t>
  </si>
  <si>
    <t>FIJOS</t>
  </si>
  <si>
    <t>Emparejadora 2</t>
  </si>
  <si>
    <t>Emparejadora 1</t>
  </si>
  <si>
    <t>18-46-0</t>
  </si>
  <si>
    <t>Ingresos Totales</t>
  </si>
  <si>
    <t>$/mes</t>
  </si>
  <si>
    <t>Aguadores (costo individual)</t>
  </si>
  <si>
    <t xml:space="preserve">Relación de cambio </t>
  </si>
  <si>
    <t>Costo Unitario</t>
  </si>
  <si>
    <t xml:space="preserve">Precio </t>
  </si>
  <si>
    <t>mts</t>
  </si>
  <si>
    <t>Combustible y Lubricantes</t>
  </si>
  <si>
    <t>(1)</t>
  </si>
  <si>
    <t>(2)</t>
  </si>
  <si>
    <t>Clincher</t>
  </si>
  <si>
    <t>Cirius</t>
  </si>
  <si>
    <t>Propanil</t>
  </si>
  <si>
    <t>Otros</t>
  </si>
  <si>
    <t>Producto</t>
  </si>
  <si>
    <t>Represas</t>
  </si>
  <si>
    <t>Kg de Arroz por Ha</t>
  </si>
  <si>
    <t>Arroz / Semilla</t>
  </si>
  <si>
    <t>% del consumo 
de combustible</t>
  </si>
  <si>
    <t>Movilidad en la Chacra</t>
  </si>
  <si>
    <t>Superficie de Siembra</t>
  </si>
  <si>
    <t>Tipo de Cambio</t>
  </si>
  <si>
    <t xml:space="preserve">RESUMEN COSTOS </t>
  </si>
  <si>
    <t>Rendimiento Medio</t>
  </si>
  <si>
    <t>Altura de Elevación</t>
  </si>
  <si>
    <t>Clomazone</t>
  </si>
  <si>
    <t>Bispirivac sodio</t>
  </si>
  <si>
    <t>Quinclorac (50%)</t>
  </si>
  <si>
    <t xml:space="preserve"> </t>
  </si>
  <si>
    <t>Sueldo Mensual</t>
  </si>
  <si>
    <t>Superficie a cargo</t>
  </si>
  <si>
    <t xml:space="preserve">Meses de trabajo </t>
  </si>
  <si>
    <t>meses/año</t>
  </si>
  <si>
    <t xml:space="preserve">Inversión </t>
  </si>
  <si>
    <t>$</t>
  </si>
  <si>
    <t>años</t>
  </si>
  <si>
    <t xml:space="preserve">Vida Útil </t>
  </si>
  <si>
    <t>Vida Útil</t>
  </si>
  <si>
    <t>Ricer</t>
  </si>
  <si>
    <t>Metamidofos</t>
  </si>
  <si>
    <t>Karate Zeon</t>
  </si>
  <si>
    <t>Fighter Plus</t>
  </si>
  <si>
    <t>Coadyuvante</t>
  </si>
  <si>
    <t>Reparaciones</t>
  </si>
  <si>
    <t>Sueldo Mensual (inc cargas sociales)</t>
  </si>
  <si>
    <t>Encargado (inc cargas sociales)</t>
  </si>
  <si>
    <t>Otras Amortizaciones (Riego)</t>
  </si>
  <si>
    <t>Bienes de Uso Estructura (Vehiculos y otros)</t>
  </si>
  <si>
    <t>FERTILIZACION DE BASE</t>
  </si>
  <si>
    <r>
      <t>RI= (∑CF + ∑CV</t>
    </r>
    <r>
      <rPr>
        <b/>
        <vertAlign val="superscript"/>
        <sz val="11"/>
        <color indexed="9"/>
        <rFont val="Arial"/>
        <family val="2"/>
      </rPr>
      <t>nr</t>
    </r>
    <r>
      <rPr>
        <b/>
        <sz val="11"/>
        <color indexed="9"/>
        <rFont val="Arial"/>
        <family val="2"/>
      </rPr>
      <t>) / (Pu-∑Cvu</t>
    </r>
    <r>
      <rPr>
        <b/>
        <vertAlign val="superscript"/>
        <sz val="11"/>
        <color indexed="9"/>
        <rFont val="Arial"/>
        <family val="2"/>
      </rPr>
      <t>r</t>
    </r>
    <r>
      <rPr>
        <b/>
        <sz val="11"/>
        <color indexed="9"/>
        <rFont val="Arial"/>
        <family val="2"/>
      </rPr>
      <t xml:space="preserve">)           </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</si>
</sst>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0.00000000"/>
    <numFmt numFmtId="186" formatCode="0.0000000"/>
    <numFmt numFmtId="187" formatCode="0.000000"/>
    <numFmt numFmtId="188" formatCode="0.00000"/>
    <numFmt numFmtId="189" formatCode="0.0000"/>
    <numFmt numFmtId="190" formatCode="[$$-2C0A]\ #,##0.00"/>
    <numFmt numFmtId="191" formatCode="#,##0.00\ _€"/>
    <numFmt numFmtId="192" formatCode="#,##0.0\ _€"/>
    <numFmt numFmtId="193" formatCode="#,##0\ _€"/>
    <numFmt numFmtId="194" formatCode="_ * #,##0.0_ ;_ * \-#,##0.0_ ;_ * &quot;-&quot;??_ ;_ @_ "/>
    <numFmt numFmtId="195" formatCode="_ * #,##0_ ;_ * \-#,##0_ ;_ * &quot;-&quot;??_ ;_ @_ "/>
    <numFmt numFmtId="196" formatCode="#,##0.0"/>
    <numFmt numFmtId="197" formatCode="[$$-2C0A]\ #,##0.0"/>
    <numFmt numFmtId="198" formatCode="[$$-2C0A]\ #,##0"/>
    <numFmt numFmtId="199" formatCode="[$$-2C0A]\ #,##0.000"/>
    <numFmt numFmtId="200" formatCode="0.0%"/>
    <numFmt numFmtId="201" formatCode="#,##0.000"/>
    <numFmt numFmtId="202" formatCode="#,##0.0000"/>
    <numFmt numFmtId="203" formatCode="#,##0.00000"/>
    <numFmt numFmtId="204" formatCode="#,##0.000000"/>
  </numFmts>
  <fonts count="33">
    <font>
      <sz val="10"/>
      <name val="Arial"/>
      <family val="0"/>
    </font>
    <font>
      <b/>
      <sz val="10"/>
      <name val="Arial"/>
      <family val="2"/>
    </font>
    <font>
      <u val="single"/>
      <sz val="10"/>
      <color indexed="12"/>
      <name val="Arial"/>
      <family val="0"/>
    </font>
    <font>
      <u val="single"/>
      <sz val="10"/>
      <color indexed="36"/>
      <name val="Arial"/>
      <family val="0"/>
    </font>
    <font>
      <b/>
      <sz val="11"/>
      <color indexed="9"/>
      <name val="Arial"/>
      <family val="2"/>
    </font>
    <font>
      <sz val="8.25"/>
      <name val="Arial"/>
      <family val="0"/>
    </font>
    <font>
      <b/>
      <sz val="6.25"/>
      <color indexed="9"/>
      <name val="Arial"/>
      <family val="2"/>
    </font>
    <font>
      <b/>
      <sz val="6.25"/>
      <name val="Arial"/>
      <family val="2"/>
    </font>
    <font>
      <b/>
      <sz val="8"/>
      <name val="Arial"/>
      <family val="2"/>
    </font>
    <font>
      <b/>
      <sz val="8"/>
      <color indexed="9"/>
      <name val="Arial"/>
      <family val="2"/>
    </font>
    <font>
      <sz val="8.5"/>
      <name val="Arial"/>
      <family val="0"/>
    </font>
    <font>
      <b/>
      <sz val="5.75"/>
      <color indexed="9"/>
      <name val="Arial"/>
      <family val="2"/>
    </font>
    <font>
      <b/>
      <sz val="7.5"/>
      <name val="Arial"/>
      <family val="2"/>
    </font>
    <font>
      <b/>
      <sz val="7"/>
      <name val="Arial"/>
      <family val="2"/>
    </font>
    <font>
      <b/>
      <sz val="8.5"/>
      <name val="Arial"/>
      <family val="2"/>
    </font>
    <font>
      <b/>
      <sz val="8.25"/>
      <name val="Arial"/>
      <family val="2"/>
    </font>
    <font>
      <b/>
      <sz val="14"/>
      <name val="Arial"/>
      <family val="2"/>
    </font>
    <font>
      <sz val="10"/>
      <color indexed="9"/>
      <name val="Arial"/>
      <family val="2"/>
    </font>
    <font>
      <b/>
      <sz val="9"/>
      <name val="Arial"/>
      <family val="2"/>
    </font>
    <font>
      <b/>
      <sz val="10"/>
      <color indexed="9"/>
      <name val="Arial"/>
      <family val="2"/>
    </font>
    <font>
      <sz val="10"/>
      <color indexed="10"/>
      <name val="Arial"/>
      <family val="2"/>
    </font>
    <font>
      <sz val="10"/>
      <color indexed="12"/>
      <name val="Arial"/>
      <family val="2"/>
    </font>
    <font>
      <b/>
      <sz val="12"/>
      <name val="Arial"/>
      <family val="2"/>
    </font>
    <font>
      <sz val="11"/>
      <color indexed="9"/>
      <name val="Arial"/>
      <family val="2"/>
    </font>
    <font>
      <sz val="8.5"/>
      <color indexed="9"/>
      <name val="Arial"/>
      <family val="2"/>
    </font>
    <font>
      <b/>
      <sz val="12"/>
      <color indexed="9"/>
      <name val="Arial"/>
      <family val="2"/>
    </font>
    <font>
      <b/>
      <sz val="13"/>
      <color indexed="63"/>
      <name val="Arial"/>
      <family val="2"/>
    </font>
    <font>
      <b/>
      <vertAlign val="superscript"/>
      <sz val="11"/>
      <color indexed="9"/>
      <name val="Arial"/>
      <family val="2"/>
    </font>
    <font>
      <b/>
      <sz val="12"/>
      <color indexed="12"/>
      <name val="Arial"/>
      <family val="2"/>
    </font>
    <font>
      <sz val="8"/>
      <color indexed="59"/>
      <name val="Tahoma"/>
      <family val="2"/>
    </font>
    <font>
      <sz val="10"/>
      <color indexed="59"/>
      <name val="Tahoma"/>
      <family val="2"/>
    </font>
    <font>
      <b/>
      <sz val="10"/>
      <color indexed="59"/>
      <name val="Tahoma"/>
      <family val="2"/>
    </font>
    <font>
      <i/>
      <sz val="10"/>
      <color indexed="59"/>
      <name val="Tahoma"/>
      <family val="2"/>
    </font>
  </fonts>
  <fills count="10">
    <fill>
      <patternFill/>
    </fill>
    <fill>
      <patternFill patternType="gray125"/>
    </fill>
    <fill>
      <patternFill patternType="solid">
        <fgColor indexed="10"/>
        <bgColor indexed="64"/>
      </patternFill>
    </fill>
    <fill>
      <patternFill patternType="solid">
        <fgColor indexed="21"/>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49"/>
        <bgColor indexed="64"/>
      </patternFill>
    </fill>
    <fill>
      <patternFill patternType="solid">
        <fgColor indexed="41"/>
        <bgColor indexed="64"/>
      </patternFill>
    </fill>
    <fill>
      <patternFill patternType="solid">
        <fgColor indexed="8"/>
        <bgColor indexed="64"/>
      </patternFill>
    </fill>
  </fills>
  <borders count="30">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thin">
        <color indexed="15"/>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color indexed="15"/>
      </top>
      <bottom>
        <color indexed="63"/>
      </bottom>
    </border>
    <border>
      <left>
        <color indexed="63"/>
      </left>
      <right>
        <color indexed="63"/>
      </right>
      <top style="thick">
        <color indexed="21"/>
      </top>
      <bottom>
        <color indexed="63"/>
      </bottom>
    </border>
    <border>
      <left>
        <color indexed="63"/>
      </left>
      <right style="medium"/>
      <top style="thin">
        <color indexed="15"/>
      </top>
      <bottom>
        <color indexed="63"/>
      </bottom>
    </border>
    <border>
      <left style="medium"/>
      <right>
        <color indexed="63"/>
      </right>
      <top style="thin">
        <color indexed="15"/>
      </top>
      <bottom style="medium"/>
    </border>
    <border>
      <left>
        <color indexed="63"/>
      </left>
      <right>
        <color indexed="63"/>
      </right>
      <top style="thin">
        <color indexed="15"/>
      </top>
      <bottom style="medium"/>
    </border>
    <border>
      <left>
        <color indexed="63"/>
      </left>
      <right>
        <color indexed="63"/>
      </right>
      <top style="thick">
        <color indexed="21"/>
      </top>
      <bottom style="medium"/>
    </border>
    <border>
      <left>
        <color indexed="63"/>
      </left>
      <right style="medium"/>
      <top style="thin">
        <color indexed="15"/>
      </top>
      <bottom style="mediu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color indexed="15"/>
      </top>
      <bottom style="thin">
        <color indexed="15"/>
      </bottom>
    </border>
    <border>
      <left>
        <color indexed="63"/>
      </left>
      <right>
        <color indexed="63"/>
      </right>
      <top style="thin">
        <color indexed="15"/>
      </top>
      <bottom style="thin">
        <color indexed="15"/>
      </bottom>
    </border>
    <border>
      <left>
        <color indexed="63"/>
      </left>
      <right style="medium"/>
      <top style="thin">
        <color indexed="15"/>
      </top>
      <bottom style="thin">
        <color indexed="15"/>
      </bottom>
    </border>
    <border>
      <left>
        <color indexed="63"/>
      </left>
      <right>
        <color indexed="63"/>
      </right>
      <top style="thick">
        <color indexed="21"/>
      </top>
      <bottom style="thin">
        <color indexed="15"/>
      </bottom>
    </border>
    <border>
      <left style="thick">
        <color indexed="21"/>
      </left>
      <right style="medium"/>
      <top style="thick">
        <color indexed="21"/>
      </top>
      <bottom style="thin">
        <color indexed="15"/>
      </bottom>
    </border>
    <border>
      <left>
        <color indexed="63"/>
      </left>
      <right style="thick">
        <color indexed="21"/>
      </right>
      <top style="thin">
        <color indexed="15"/>
      </top>
      <bottom>
        <color indexed="63"/>
      </bottom>
    </border>
    <border>
      <left style="thin"/>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color indexed="15"/>
      </bottom>
    </border>
    <border>
      <left>
        <color indexed="63"/>
      </left>
      <right style="medium"/>
      <top style="medium"/>
      <bottom style="thin">
        <color indexed="15"/>
      </bottom>
    </border>
    <border>
      <left style="medium"/>
      <right>
        <color indexed="63"/>
      </right>
      <top style="medium"/>
      <bottom style="medium"/>
    </border>
    <border>
      <left style="medium"/>
      <right>
        <color indexed="63"/>
      </right>
      <top>
        <color indexed="63"/>
      </top>
      <bottom style="thin">
        <color indexed="15"/>
      </bottom>
    </border>
    <border>
      <left>
        <color indexed="63"/>
      </left>
      <right>
        <color indexed="63"/>
      </right>
      <top>
        <color indexed="63"/>
      </top>
      <bottom style="thin">
        <color indexed="1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4" fontId="0" fillId="0" borderId="0" xfId="0" applyNumberFormat="1" applyFont="1" applyFill="1" applyAlignment="1">
      <alignment/>
    </xf>
    <xf numFmtId="4" fontId="0" fillId="0" borderId="0" xfId="0" applyNumberFormat="1" applyFont="1" applyFill="1" applyAlignment="1">
      <alignment horizontal="left"/>
    </xf>
    <xf numFmtId="4" fontId="0" fillId="0" borderId="0" xfId="0" applyNumberFormat="1" applyFont="1" applyFill="1" applyBorder="1" applyAlignment="1">
      <alignment/>
    </xf>
    <xf numFmtId="4" fontId="0" fillId="2" borderId="1" xfId="0" applyNumberFormat="1" applyFont="1" applyFill="1" applyBorder="1" applyAlignment="1">
      <alignment/>
    </xf>
    <xf numFmtId="4" fontId="17" fillId="3" borderId="2" xfId="0" applyNumberFormat="1" applyFont="1" applyFill="1" applyBorder="1" applyAlignment="1">
      <alignment/>
    </xf>
    <xf numFmtId="4" fontId="17" fillId="3" borderId="3" xfId="0" applyNumberFormat="1" applyFont="1" applyFill="1" applyBorder="1" applyAlignment="1">
      <alignment/>
    </xf>
    <xf numFmtId="4" fontId="17" fillId="3" borderId="4" xfId="0" applyNumberFormat="1" applyFont="1" applyFill="1" applyBorder="1" applyAlignment="1">
      <alignment/>
    </xf>
    <xf numFmtId="3" fontId="18" fillId="0" borderId="4" xfId="0" applyNumberFormat="1" applyFont="1" applyFill="1" applyBorder="1" applyAlignment="1">
      <alignment horizontal="center"/>
    </xf>
    <xf numFmtId="4" fontId="17" fillId="3" borderId="5" xfId="0" applyNumberFormat="1" applyFont="1" applyFill="1" applyBorder="1" applyAlignment="1">
      <alignment/>
    </xf>
    <xf numFmtId="4" fontId="17" fillId="3" borderId="6" xfId="0" applyNumberFormat="1" applyFont="1" applyFill="1" applyBorder="1" applyAlignment="1">
      <alignment/>
    </xf>
    <xf numFmtId="4" fontId="18" fillId="0" borderId="7" xfId="0" applyNumberFormat="1" applyFont="1" applyFill="1" applyBorder="1" applyAlignment="1">
      <alignment horizontal="center"/>
    </xf>
    <xf numFmtId="4" fontId="17" fillId="3" borderId="8" xfId="0" applyNumberFormat="1" applyFont="1" applyFill="1" applyBorder="1" applyAlignment="1">
      <alignment/>
    </xf>
    <xf numFmtId="4" fontId="17" fillId="3" borderId="3" xfId="0" applyNumberFormat="1" applyFont="1" applyFill="1" applyBorder="1" applyAlignment="1">
      <alignment horizontal="center"/>
    </xf>
    <xf numFmtId="4" fontId="17" fillId="3" borderId="8" xfId="0" applyNumberFormat="1" applyFont="1" applyFill="1" applyBorder="1" applyAlignment="1">
      <alignment horizontal="center"/>
    </xf>
    <xf numFmtId="4" fontId="18" fillId="0" borderId="0" xfId="0" applyNumberFormat="1" applyFont="1" applyFill="1" applyBorder="1" applyAlignment="1">
      <alignment horizontal="center"/>
    </xf>
    <xf numFmtId="4" fontId="19" fillId="3" borderId="8" xfId="0" applyNumberFormat="1" applyFont="1" applyFill="1" applyBorder="1" applyAlignment="1">
      <alignment horizontal="center"/>
    </xf>
    <xf numFmtId="4" fontId="20" fillId="0" borderId="0" xfId="0" applyNumberFormat="1" applyFont="1" applyFill="1" applyAlignment="1">
      <alignment/>
    </xf>
    <xf numFmtId="4" fontId="17" fillId="3" borderId="9" xfId="0" applyNumberFormat="1" applyFont="1" applyFill="1" applyBorder="1" applyAlignment="1">
      <alignment/>
    </xf>
    <xf numFmtId="4" fontId="17" fillId="3" borderId="10" xfId="0" applyNumberFormat="1" applyFont="1" applyFill="1" applyBorder="1" applyAlignment="1">
      <alignment/>
    </xf>
    <xf numFmtId="3" fontId="18" fillId="0" borderId="11" xfId="0" applyNumberFormat="1" applyFont="1" applyFill="1" applyBorder="1" applyAlignment="1">
      <alignment horizontal="center"/>
    </xf>
    <xf numFmtId="4" fontId="17" fillId="3" borderId="12" xfId="0" applyNumberFormat="1" applyFont="1" applyFill="1" applyBorder="1" applyAlignment="1">
      <alignment/>
    </xf>
    <xf numFmtId="4" fontId="21" fillId="0" borderId="0" xfId="0" applyNumberFormat="1" applyFont="1" applyFill="1" applyBorder="1" applyAlignment="1">
      <alignment horizontal="right"/>
    </xf>
    <xf numFmtId="4" fontId="0" fillId="0" borderId="0" xfId="0" applyNumberFormat="1" applyFont="1" applyFill="1" applyBorder="1" applyAlignment="1">
      <alignment horizontal="center"/>
    </xf>
    <xf numFmtId="3" fontId="18" fillId="0" borderId="7" xfId="0" applyNumberFormat="1" applyFont="1" applyFill="1" applyBorder="1" applyAlignment="1">
      <alignment horizontal="center"/>
    </xf>
    <xf numFmtId="4" fontId="0" fillId="2" borderId="13" xfId="0" applyNumberFormat="1" applyFont="1" applyFill="1" applyBorder="1" applyAlignment="1">
      <alignment/>
    </xf>
    <xf numFmtId="4" fontId="19" fillId="3" borderId="9" xfId="0" applyNumberFormat="1" applyFont="1" applyFill="1" applyBorder="1" applyAlignment="1">
      <alignment/>
    </xf>
    <xf numFmtId="4" fontId="19" fillId="3" borderId="10" xfId="0" applyNumberFormat="1" applyFont="1" applyFill="1" applyBorder="1" applyAlignment="1">
      <alignment/>
    </xf>
    <xf numFmtId="4" fontId="19" fillId="3" borderId="12" xfId="0" applyNumberFormat="1" applyFont="1" applyFill="1" applyBorder="1" applyAlignment="1">
      <alignment/>
    </xf>
    <xf numFmtId="4" fontId="17" fillId="0" borderId="14" xfId="0" applyNumberFormat="1" applyFont="1" applyFill="1" applyBorder="1" applyAlignment="1">
      <alignment/>
    </xf>
    <xf numFmtId="4" fontId="17" fillId="0" borderId="0" xfId="0" applyNumberFormat="1" applyFont="1" applyFill="1" applyBorder="1" applyAlignment="1">
      <alignment/>
    </xf>
    <xf numFmtId="4" fontId="17" fillId="0" borderId="15" xfId="0" applyNumberFormat="1" applyFont="1" applyFill="1" applyBorder="1" applyAlignment="1">
      <alignment/>
    </xf>
    <xf numFmtId="4" fontId="17" fillId="3" borderId="14" xfId="0" applyNumberFormat="1" applyFont="1" applyFill="1" applyBorder="1" applyAlignment="1">
      <alignment/>
    </xf>
    <xf numFmtId="4" fontId="17" fillId="3" borderId="0" xfId="0" applyNumberFormat="1" applyFont="1" applyFill="1" applyBorder="1" applyAlignment="1">
      <alignment/>
    </xf>
    <xf numFmtId="4" fontId="17" fillId="3" borderId="15" xfId="0" applyNumberFormat="1" applyFont="1" applyFill="1" applyBorder="1" applyAlignment="1">
      <alignment/>
    </xf>
    <xf numFmtId="4" fontId="17" fillId="3" borderId="6" xfId="0" applyNumberFormat="1" applyFont="1" applyFill="1" applyBorder="1" applyAlignment="1">
      <alignment horizontal="left"/>
    </xf>
    <xf numFmtId="4" fontId="17" fillId="3" borderId="3" xfId="0" applyNumberFormat="1" applyFont="1" applyFill="1" applyBorder="1" applyAlignment="1">
      <alignment horizontal="left"/>
    </xf>
    <xf numFmtId="4" fontId="17" fillId="3" borderId="8" xfId="0" applyNumberFormat="1" applyFont="1" applyFill="1" applyBorder="1" applyAlignment="1">
      <alignment horizontal="left"/>
    </xf>
    <xf numFmtId="4" fontId="1" fillId="0" borderId="0" xfId="0" applyNumberFormat="1" applyFont="1" applyFill="1" applyAlignment="1">
      <alignment/>
    </xf>
    <xf numFmtId="4" fontId="1" fillId="0" borderId="0" xfId="0" applyNumberFormat="1" applyFont="1" applyFill="1" applyBorder="1" applyAlignment="1">
      <alignment/>
    </xf>
    <xf numFmtId="4" fontId="19" fillId="3" borderId="6" xfId="0" applyNumberFormat="1" applyFont="1" applyFill="1" applyBorder="1" applyAlignment="1">
      <alignment/>
    </xf>
    <xf numFmtId="4" fontId="19" fillId="3" borderId="3" xfId="0" applyNumberFormat="1" applyFont="1" applyFill="1" applyBorder="1" applyAlignment="1">
      <alignment/>
    </xf>
    <xf numFmtId="4" fontId="19" fillId="3" borderId="8" xfId="0" applyNumberFormat="1" applyFont="1" applyFill="1" applyBorder="1" applyAlignment="1">
      <alignment/>
    </xf>
    <xf numFmtId="4" fontId="17" fillId="3" borderId="16" xfId="0" applyNumberFormat="1" applyFont="1" applyFill="1" applyBorder="1" applyAlignment="1">
      <alignment/>
    </xf>
    <xf numFmtId="4" fontId="17" fillId="3" borderId="17" xfId="0" applyNumberFormat="1" applyFont="1" applyFill="1" applyBorder="1" applyAlignment="1">
      <alignment/>
    </xf>
    <xf numFmtId="4" fontId="17" fillId="3" borderId="18" xfId="0" applyNumberFormat="1" applyFont="1" applyFill="1" applyBorder="1" applyAlignment="1">
      <alignment/>
    </xf>
    <xf numFmtId="4" fontId="18" fillId="0" borderId="19" xfId="0" applyNumberFormat="1" applyFont="1" applyFill="1" applyBorder="1" applyAlignment="1">
      <alignment horizontal="center"/>
    </xf>
    <xf numFmtId="4" fontId="18" fillId="0" borderId="20" xfId="0" applyNumberFormat="1" applyFont="1" applyFill="1" applyBorder="1" applyAlignment="1">
      <alignment horizontal="center"/>
    </xf>
    <xf numFmtId="4" fontId="17" fillId="3" borderId="0" xfId="0" applyNumberFormat="1" applyFont="1" applyFill="1" applyBorder="1" applyAlignment="1">
      <alignment horizontal="left"/>
    </xf>
    <xf numFmtId="4" fontId="17" fillId="3" borderId="15" xfId="0" applyNumberFormat="1" applyFont="1" applyFill="1" applyBorder="1" applyAlignment="1">
      <alignment horizontal="left"/>
    </xf>
    <xf numFmtId="3" fontId="18" fillId="0" borderId="19" xfId="0" applyNumberFormat="1" applyFont="1" applyFill="1" applyBorder="1" applyAlignment="1">
      <alignment horizontal="center"/>
    </xf>
    <xf numFmtId="4" fontId="18" fillId="4" borderId="0" xfId="0" applyNumberFormat="1" applyFont="1" applyFill="1" applyBorder="1" applyAlignment="1">
      <alignment horizontal="center"/>
    </xf>
    <xf numFmtId="4" fontId="19" fillId="3" borderId="21" xfId="0" applyNumberFormat="1" applyFont="1" applyFill="1" applyBorder="1" applyAlignment="1">
      <alignment/>
    </xf>
    <xf numFmtId="4" fontId="17" fillId="3" borderId="3" xfId="0" applyNumberFormat="1" applyFont="1" applyFill="1" applyBorder="1" applyAlignment="1">
      <alignment vertical="center"/>
    </xf>
    <xf numFmtId="3" fontId="18" fillId="0" borderId="7" xfId="0" applyNumberFormat="1" applyFont="1" applyFill="1" applyBorder="1" applyAlignment="1">
      <alignment horizontal="center" vertical="center"/>
    </xf>
    <xf numFmtId="4" fontId="17" fillId="3" borderId="8" xfId="0" applyNumberFormat="1" applyFont="1" applyFill="1" applyBorder="1" applyAlignment="1">
      <alignment wrapText="1"/>
    </xf>
    <xf numFmtId="4" fontId="19" fillId="3" borderId="3" xfId="0" applyNumberFormat="1" applyFont="1" applyFill="1" applyBorder="1" applyAlignment="1">
      <alignment horizontal="left"/>
    </xf>
    <xf numFmtId="4" fontId="0" fillId="2" borderId="22" xfId="0" applyNumberFormat="1" applyFont="1" applyFill="1" applyBorder="1" applyAlignment="1">
      <alignment/>
    </xf>
    <xf numFmtId="4" fontId="4" fillId="5" borderId="2" xfId="0" applyNumberFormat="1" applyFont="1" applyFill="1" applyBorder="1" applyAlignment="1">
      <alignment/>
    </xf>
    <xf numFmtId="4" fontId="23" fillId="5" borderId="4" xfId="0" applyNumberFormat="1" applyFont="1" applyFill="1" applyBorder="1" applyAlignment="1">
      <alignment/>
    </xf>
    <xf numFmtId="4" fontId="19" fillId="5" borderId="23" xfId="0" applyNumberFormat="1" applyFont="1" applyFill="1" applyBorder="1" applyAlignment="1">
      <alignment horizontal="center"/>
    </xf>
    <xf numFmtId="4" fontId="19" fillId="5" borderId="24" xfId="0" applyNumberFormat="1" applyFont="1" applyFill="1" applyBorder="1" applyAlignment="1">
      <alignment horizontal="center"/>
    </xf>
    <xf numFmtId="4" fontId="4" fillId="3" borderId="2" xfId="0" applyNumberFormat="1" applyFont="1" applyFill="1" applyBorder="1" applyAlignment="1">
      <alignment/>
    </xf>
    <xf numFmtId="4" fontId="4" fillId="3" borderId="25" xfId="0" applyNumberFormat="1" applyFont="1" applyFill="1" applyBorder="1" applyAlignment="1">
      <alignment/>
    </xf>
    <xf numFmtId="9" fontId="4" fillId="3" borderId="26" xfId="21" applyFont="1" applyFill="1" applyBorder="1" applyAlignment="1">
      <alignment horizontal="center"/>
    </xf>
    <xf numFmtId="9" fontId="17" fillId="3" borderId="18" xfId="21" applyFont="1" applyFill="1" applyBorder="1" applyAlignment="1">
      <alignment horizontal="center"/>
    </xf>
    <xf numFmtId="4" fontId="24" fillId="3" borderId="3" xfId="0" applyNumberFormat="1" applyFont="1" applyFill="1" applyBorder="1" applyAlignment="1">
      <alignment/>
    </xf>
    <xf numFmtId="9" fontId="24" fillId="3" borderId="8" xfId="21" applyFont="1" applyFill="1" applyBorder="1" applyAlignment="1">
      <alignment horizontal="center"/>
    </xf>
    <xf numFmtId="4" fontId="17" fillId="3" borderId="10" xfId="0" applyNumberFormat="1" applyFont="1" applyFill="1" applyBorder="1" applyAlignment="1">
      <alignment horizontal="center"/>
    </xf>
    <xf numFmtId="9" fontId="17" fillId="3" borderId="12" xfId="21" applyFont="1" applyFill="1" applyBorder="1" applyAlignment="1">
      <alignment horizontal="center"/>
    </xf>
    <xf numFmtId="4" fontId="4" fillId="3" borderId="0" xfId="0" applyNumberFormat="1" applyFont="1" applyFill="1" applyBorder="1" applyAlignment="1">
      <alignment/>
    </xf>
    <xf numFmtId="4" fontId="22" fillId="0" borderId="0" xfId="0" applyNumberFormat="1" applyFont="1" applyFill="1" applyAlignment="1">
      <alignment/>
    </xf>
    <xf numFmtId="4" fontId="4" fillId="3" borderId="27" xfId="0" applyNumberFormat="1" applyFont="1" applyFill="1" applyBorder="1" applyAlignment="1">
      <alignment/>
    </xf>
    <xf numFmtId="4" fontId="4" fillId="3" borderId="23" xfId="0" applyNumberFormat="1" applyFont="1" applyFill="1" applyBorder="1" applyAlignment="1">
      <alignment/>
    </xf>
    <xf numFmtId="9" fontId="4" fillId="3" borderId="24" xfId="21" applyFont="1" applyFill="1" applyBorder="1" applyAlignment="1">
      <alignment horizontal="center"/>
    </xf>
    <xf numFmtId="4" fontId="4" fillId="5" borderId="27" xfId="0" applyNumberFormat="1" applyFont="1" applyFill="1" applyBorder="1" applyAlignment="1">
      <alignment/>
    </xf>
    <xf numFmtId="4" fontId="23" fillId="5" borderId="23" xfId="0" applyNumberFormat="1" applyFont="1" applyFill="1" applyBorder="1" applyAlignment="1">
      <alignment/>
    </xf>
    <xf numFmtId="4" fontId="4" fillId="5" borderId="24" xfId="0" applyNumberFormat="1" applyFont="1" applyFill="1" applyBorder="1" applyAlignment="1">
      <alignment horizontal="center"/>
    </xf>
    <xf numFmtId="4" fontId="25" fillId="3" borderId="14" xfId="0" applyNumberFormat="1" applyFont="1" applyFill="1" applyBorder="1" applyAlignment="1">
      <alignment/>
    </xf>
    <xf numFmtId="4" fontId="25" fillId="3" borderId="0" xfId="0" applyNumberFormat="1" applyFont="1" applyFill="1" applyBorder="1" applyAlignment="1">
      <alignment/>
    </xf>
    <xf numFmtId="3" fontId="25" fillId="3" borderId="15" xfId="0" applyNumberFormat="1" applyFont="1" applyFill="1" applyBorder="1" applyAlignment="1">
      <alignment/>
    </xf>
    <xf numFmtId="4" fontId="25" fillId="3" borderId="6" xfId="0" applyNumberFormat="1" applyFont="1" applyFill="1" applyBorder="1" applyAlignment="1">
      <alignment/>
    </xf>
    <xf numFmtId="4" fontId="25" fillId="3" borderId="3" xfId="0" applyNumberFormat="1" applyFont="1" applyFill="1" applyBorder="1" applyAlignment="1">
      <alignment/>
    </xf>
    <xf numFmtId="4" fontId="25" fillId="3" borderId="8" xfId="0" applyNumberFormat="1" applyFont="1" applyFill="1" applyBorder="1" applyAlignment="1">
      <alignment/>
    </xf>
    <xf numFmtId="4" fontId="26" fillId="6" borderId="27" xfId="0" applyNumberFormat="1" applyFont="1" applyFill="1" applyBorder="1" applyAlignment="1">
      <alignment/>
    </xf>
    <xf numFmtId="4" fontId="26" fillId="6" borderId="23" xfId="0" applyNumberFormat="1" applyFont="1" applyFill="1" applyBorder="1" applyAlignment="1">
      <alignment/>
    </xf>
    <xf numFmtId="4" fontId="26" fillId="6" borderId="24" xfId="0" applyNumberFormat="1" applyFont="1" applyFill="1" applyBorder="1" applyAlignment="1">
      <alignment/>
    </xf>
    <xf numFmtId="4" fontId="28" fillId="0" borderId="0" xfId="0" applyNumberFormat="1" applyFont="1" applyFill="1" applyBorder="1" applyAlignment="1">
      <alignment/>
    </xf>
    <xf numFmtId="4" fontId="16" fillId="7" borderId="2" xfId="0" applyNumberFormat="1" applyFont="1" applyFill="1" applyBorder="1" applyAlignment="1">
      <alignment horizontal="center"/>
    </xf>
    <xf numFmtId="4" fontId="16" fillId="7" borderId="4" xfId="0" applyNumberFormat="1" applyFont="1" applyFill="1" applyBorder="1" applyAlignment="1">
      <alignment horizontal="center"/>
    </xf>
    <xf numFmtId="4" fontId="16" fillId="7" borderId="5" xfId="0" applyNumberFormat="1" applyFont="1" applyFill="1" applyBorder="1" applyAlignment="1">
      <alignment horizontal="center"/>
    </xf>
    <xf numFmtId="4" fontId="4" fillId="5" borderId="23" xfId="0" applyNumberFormat="1" applyFont="1" applyFill="1" applyBorder="1" applyAlignment="1">
      <alignment horizontal="center"/>
    </xf>
    <xf numFmtId="4" fontId="4" fillId="3" borderId="2" xfId="0" applyNumberFormat="1" applyFont="1" applyFill="1" applyBorder="1" applyAlignment="1">
      <alignment horizontal="left"/>
    </xf>
    <xf numFmtId="4" fontId="4" fillId="3" borderId="4" xfId="0" applyNumberFormat="1" applyFont="1" applyFill="1" applyBorder="1" applyAlignment="1">
      <alignment horizontal="left"/>
    </xf>
    <xf numFmtId="4" fontId="22" fillId="8" borderId="27" xfId="0" applyNumberFormat="1" applyFont="1" applyFill="1" applyBorder="1" applyAlignment="1">
      <alignment horizontal="center"/>
    </xf>
    <xf numFmtId="4" fontId="22" fillId="8" borderId="23" xfId="0" applyNumberFormat="1" applyFont="1" applyFill="1" applyBorder="1" applyAlignment="1">
      <alignment horizontal="center"/>
    </xf>
    <xf numFmtId="4" fontId="22" fillId="8" borderId="24" xfId="0" applyNumberFormat="1" applyFont="1" applyFill="1" applyBorder="1" applyAlignment="1">
      <alignment horizontal="center"/>
    </xf>
    <xf numFmtId="4" fontId="4" fillId="9" borderId="2" xfId="0" applyNumberFormat="1" applyFont="1" applyFill="1" applyBorder="1" applyAlignment="1">
      <alignment horizontal="center"/>
    </xf>
    <xf numFmtId="4" fontId="4" fillId="9" borderId="4" xfId="0" applyNumberFormat="1" applyFont="1" applyFill="1" applyBorder="1" applyAlignment="1">
      <alignment horizontal="center"/>
    </xf>
    <xf numFmtId="4" fontId="4" fillId="9" borderId="5" xfId="0" applyNumberFormat="1" applyFont="1" applyFill="1" applyBorder="1" applyAlignment="1">
      <alignment horizontal="center"/>
    </xf>
    <xf numFmtId="4" fontId="16" fillId="7" borderId="27" xfId="0" applyNumberFormat="1" applyFont="1" applyFill="1" applyBorder="1" applyAlignment="1">
      <alignment horizontal="center"/>
    </xf>
    <xf numFmtId="4" fontId="16" fillId="7" borderId="23" xfId="0" applyNumberFormat="1" applyFont="1" applyFill="1" applyBorder="1" applyAlignment="1">
      <alignment horizontal="center"/>
    </xf>
    <xf numFmtId="4" fontId="16" fillId="7" borderId="24" xfId="0" applyNumberFormat="1" applyFont="1" applyFill="1" applyBorder="1" applyAlignment="1">
      <alignment horizontal="center"/>
    </xf>
    <xf numFmtId="4" fontId="17" fillId="3" borderId="17" xfId="0" applyNumberFormat="1" applyFont="1" applyFill="1" applyBorder="1" applyAlignment="1">
      <alignment horizontal="left"/>
    </xf>
    <xf numFmtId="4" fontId="17" fillId="3" borderId="6" xfId="0" applyNumberFormat="1" applyFont="1" applyFill="1" applyBorder="1" applyAlignment="1">
      <alignment horizontal="left"/>
    </xf>
    <xf numFmtId="4" fontId="17" fillId="3" borderId="3" xfId="0" applyNumberFormat="1" applyFont="1" applyFill="1" applyBorder="1" applyAlignment="1">
      <alignment horizontal="left"/>
    </xf>
    <xf numFmtId="4" fontId="17" fillId="3" borderId="8" xfId="0" applyNumberFormat="1" applyFont="1" applyFill="1" applyBorder="1" applyAlignment="1">
      <alignment horizontal="left"/>
    </xf>
    <xf numFmtId="4" fontId="17" fillId="3" borderId="16" xfId="0" applyNumberFormat="1" applyFont="1" applyFill="1" applyBorder="1" applyAlignment="1">
      <alignment horizontal="left"/>
    </xf>
    <xf numFmtId="4" fontId="17" fillId="3" borderId="18" xfId="0" applyNumberFormat="1" applyFont="1" applyFill="1" applyBorder="1" applyAlignment="1">
      <alignment horizontal="left"/>
    </xf>
    <xf numFmtId="4" fontId="17" fillId="3" borderId="6" xfId="0" applyNumberFormat="1" applyFont="1" applyFill="1" applyBorder="1" applyAlignment="1">
      <alignment vertical="center" wrapText="1"/>
    </xf>
    <xf numFmtId="4" fontId="0" fillId="0" borderId="3" xfId="0" applyNumberFormat="1" applyFont="1" applyBorder="1" applyAlignment="1">
      <alignment vertical="center" wrapText="1"/>
    </xf>
    <xf numFmtId="4" fontId="0" fillId="0" borderId="28" xfId="0" applyNumberFormat="1" applyFont="1" applyBorder="1" applyAlignment="1">
      <alignment vertical="center" wrapText="1"/>
    </xf>
    <xf numFmtId="4" fontId="0" fillId="0" borderId="29" xfId="0" applyNumberFormat="1" applyFont="1" applyBorder="1"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FFFF"/>
                </a:solidFill>
                <a:latin typeface="Arial"/>
                <a:ea typeface="Arial"/>
                <a:cs typeface="Arial"/>
              </a:rPr>
              <a:t>PARTICIPACION EN COSTOS TOTALES</a:t>
            </a:r>
          </a:p>
        </c:rich>
      </c:tx>
      <c:layout>
        <c:manualLayout>
          <c:xMode val="factor"/>
          <c:yMode val="factor"/>
          <c:x val="0.00325"/>
          <c:y val="-0.019"/>
        </c:manualLayout>
      </c:layout>
      <c:spPr>
        <a:noFill/>
        <a:ln>
          <a:noFill/>
        </a:ln>
      </c:spPr>
    </c:title>
    <c:view3D>
      <c:rotX val="15"/>
      <c:hPercent val="100"/>
      <c:rotY val="340"/>
      <c:depthPercent val="100"/>
      <c:rAngAx val="1"/>
    </c:view3D>
    <c:plotArea>
      <c:layout>
        <c:manualLayout>
          <c:xMode val="edge"/>
          <c:yMode val="edge"/>
          <c:x val="0.19725"/>
          <c:y val="0.3835"/>
          <c:w val="0.56775"/>
          <c:h val="0.2775"/>
        </c:manualLayout>
      </c:layout>
      <c:pie3DChart>
        <c:varyColors val="1"/>
        <c:ser>
          <c:idx val="0"/>
          <c:order val="0"/>
          <c:spPr>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0C0C0"/>
              </a:solidFill>
              <a:ln w="3175">
                <a:noFill/>
              </a:ln>
            </c:spPr>
          </c:dPt>
          <c:dPt>
            <c:idx val="3"/>
            <c:spPr>
              <a:solidFill>
                <a:srgbClr val="CC99FF"/>
              </a:solidFill>
              <a:ln w="3175">
                <a:noFill/>
              </a:ln>
            </c:spPr>
          </c:dPt>
          <c:dPt>
            <c:idx val="4"/>
            <c:spPr>
              <a:solidFill>
                <a:srgbClr val="CCFFFF"/>
              </a:solidFill>
              <a:ln w="3175">
                <a:noFill/>
              </a:ln>
            </c:spPr>
          </c:dPt>
          <c:dPt>
            <c:idx val="6"/>
            <c:spPr>
              <a:solidFill>
                <a:srgbClr val="FFCC99"/>
              </a:solidFill>
              <a:ln w="3175">
                <a:noFill/>
              </a:ln>
            </c:spPr>
          </c:dPt>
          <c:dPt>
            <c:idx val="8"/>
            <c:spPr>
              <a:solidFill>
                <a:srgbClr val="FFCC00"/>
              </a:solidFill>
              <a:ln w="3175">
                <a:noFill/>
              </a:ln>
            </c:spPr>
          </c:dPt>
          <c:dLbls>
            <c:dLbl>
              <c:idx val="0"/>
              <c:layout>
                <c:manualLayout>
                  <c:x val="0"/>
                  <c:y val="0"/>
                </c:manualLayout>
              </c:layout>
              <c:txPr>
                <a:bodyPr vert="horz" rot="0"/>
                <a:lstStyle/>
                <a:p>
                  <a:pPr algn="ctr">
                    <a:defRPr lang="en-US" cap="none" sz="625" b="1"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1"/>
              <c:showSerName val="0"/>
              <c:showPercent val="0"/>
            </c:dLbl>
            <c:dLbl>
              <c:idx val="1"/>
              <c:layout>
                <c:manualLayout>
                  <c:x val="0"/>
                  <c:y val="0"/>
                </c:manualLayout>
              </c:layout>
              <c:txPr>
                <a:bodyPr vert="horz" rot="0"/>
                <a:lstStyle/>
                <a:p>
                  <a:pPr algn="ctr">
                    <a:defRPr lang="en-US" cap="none" sz="625" b="1"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1"/>
              <c:showSerName val="0"/>
              <c:showPercent val="0"/>
            </c:dLbl>
            <c:dLbl>
              <c:idx val="2"/>
              <c:layout>
                <c:manualLayout>
                  <c:x val="0"/>
                  <c:y val="0"/>
                </c:manualLayout>
              </c:layout>
              <c:txPr>
                <a:bodyPr vert="horz" rot="0"/>
                <a:lstStyle/>
                <a:p>
                  <a:pPr algn="ctr">
                    <a:defRPr lang="en-US" cap="none" sz="625" b="1" i="0" u="none" baseline="0">
                      <a:solidFill>
                        <a:srgbClr val="FFFFFF"/>
                      </a:solidFill>
                      <a:latin typeface="Arial"/>
                      <a:ea typeface="Arial"/>
                      <a:cs typeface="Arial"/>
                    </a:defRPr>
                  </a:pPr>
                </a:p>
              </c:txPr>
              <c:numFmt formatCode="0%" sourceLinked="0"/>
              <c:spPr>
                <a:noFill/>
                <a:ln w="3175">
                  <a:solidFill/>
                </a:ln>
              </c:spPr>
              <c:showLegendKey val="0"/>
              <c:showVal val="1"/>
              <c:showBubbleSize val="0"/>
              <c:showCatName val="1"/>
              <c:showSerName val="0"/>
              <c:showPercent val="0"/>
            </c:dLbl>
            <c:dLbl>
              <c:idx val="3"/>
              <c:layout>
                <c:manualLayout>
                  <c:x val="0"/>
                  <c:y val="0"/>
                </c:manualLayout>
              </c:layout>
              <c:txPr>
                <a:bodyPr vert="horz" rot="0"/>
                <a:lstStyle/>
                <a:p>
                  <a:pPr algn="ctr">
                    <a:defRPr lang="en-US" cap="none" sz="625" b="1"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1"/>
              <c:showSerName val="0"/>
              <c:showPercent val="0"/>
            </c:dLbl>
            <c:dLbl>
              <c:idx val="4"/>
              <c:layout>
                <c:manualLayout>
                  <c:x val="0"/>
                  <c:y val="0"/>
                </c:manualLayout>
              </c:layout>
              <c:txPr>
                <a:bodyPr vert="horz" rot="0"/>
                <a:lstStyle/>
                <a:p>
                  <a:pPr algn="ctr">
                    <a:defRPr lang="en-US" cap="none" sz="625" b="1"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1"/>
              <c:showSerName val="0"/>
              <c:showPercent val="0"/>
            </c:dLbl>
            <c:dLbl>
              <c:idx val="5"/>
              <c:layout>
                <c:manualLayout>
                  <c:x val="0"/>
                  <c:y val="0"/>
                </c:manualLayout>
              </c:layout>
              <c:txPr>
                <a:bodyPr vert="horz" rot="0"/>
                <a:lstStyle/>
                <a:p>
                  <a:pPr algn="ctr">
                    <a:defRPr lang="en-US" cap="none" sz="625" b="1"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1"/>
              <c:showSerName val="0"/>
              <c:showPercent val="0"/>
            </c:dLbl>
            <c:dLbl>
              <c:idx val="6"/>
              <c:layout>
                <c:manualLayout>
                  <c:x val="0"/>
                  <c:y val="0"/>
                </c:manualLayout>
              </c:layout>
              <c:txPr>
                <a:bodyPr vert="horz" rot="0"/>
                <a:lstStyle/>
                <a:p>
                  <a:pPr algn="ctr">
                    <a:defRPr lang="en-US" cap="none" sz="625" b="1"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1"/>
              <c:showSerName val="0"/>
              <c:showPercent val="0"/>
            </c:dLbl>
            <c:dLbl>
              <c:idx val="7"/>
              <c:layout>
                <c:manualLayout>
                  <c:x val="0"/>
                  <c:y val="0"/>
                </c:manualLayout>
              </c:layout>
              <c:txPr>
                <a:bodyPr vert="horz" rot="0"/>
                <a:lstStyle/>
                <a:p>
                  <a:pPr algn="ctr">
                    <a:defRPr lang="en-US" cap="none" sz="625" b="1"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1"/>
              <c:showSerName val="0"/>
              <c:showPercent val="0"/>
            </c:dLbl>
            <c:dLbl>
              <c:idx val="8"/>
              <c:layout>
                <c:manualLayout>
                  <c:x val="0"/>
                  <c:y val="0"/>
                </c:manualLayout>
              </c:layout>
              <c:txPr>
                <a:bodyPr vert="horz" rot="0"/>
                <a:lstStyle/>
                <a:p>
                  <a:pPr algn="ctr">
                    <a:defRPr lang="en-US" cap="none" sz="625" b="1"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1"/>
              <c:showSerName val="0"/>
              <c:showPercent val="0"/>
            </c:dLbl>
            <c:dLbl>
              <c:idx val="9"/>
              <c:layout>
                <c:manualLayout>
                  <c:x val="0"/>
                  <c:y val="0"/>
                </c:manualLayout>
              </c:layout>
              <c:txPr>
                <a:bodyPr vert="horz" rot="0"/>
                <a:lstStyle/>
                <a:p>
                  <a:pPr algn="ctr">
                    <a:defRPr lang="en-US" cap="none" sz="625" b="1"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1"/>
              <c:showSerName val="0"/>
              <c:showPercent val="0"/>
            </c:dLbl>
            <c:numFmt formatCode="0%" sourceLinked="0"/>
            <c:spPr>
              <a:noFill/>
              <a:ln>
                <a:noFill/>
              </a:ln>
            </c:spPr>
            <c:txPr>
              <a:bodyPr vert="horz" rot="0"/>
              <a:lstStyle/>
              <a:p>
                <a:pPr algn="ctr">
                  <a:defRPr lang="en-US" cap="none" sz="625" b="1" i="0" u="none" baseline="0">
                    <a:solidFill>
                      <a:srgbClr val="FFFFFF"/>
                    </a:solidFill>
                    <a:latin typeface="Arial"/>
                    <a:ea typeface="Arial"/>
                    <a:cs typeface="Arial"/>
                  </a:defRPr>
                </a:pPr>
              </a:p>
            </c:txPr>
            <c:showLegendKey val="0"/>
            <c:showVal val="1"/>
            <c:showBubbleSize val="0"/>
            <c:showCatName val="1"/>
            <c:showSerName val="0"/>
            <c:showLeaderLines val="1"/>
            <c:showPercent val="0"/>
            <c:leaderLines>
              <c:spPr>
                <a:ln w="3175">
                  <a:solidFill>
                    <a:srgbClr val="FFFFFF"/>
                  </a:solidFill>
                </a:ln>
              </c:spPr>
            </c:leaderLines>
          </c:dLbls>
          <c:cat>
            <c:strRef>
              <c:f>('[1]Hoja1'!$C$219,'[1]Hoja1'!$C$222:$C$228,'[1]Hoja1'!$C$231:$C$232)</c:f>
              <c:strCache>
                <c:ptCount val="10"/>
                <c:pt idx="0">
                  <c:v>IMPLANTACIÓN</c:v>
                </c:pt>
                <c:pt idx="1">
                  <c:v>RIEGO</c:v>
                </c:pt>
                <c:pt idx="2">
                  <c:v>FERTILIZACION</c:v>
                </c:pt>
                <c:pt idx="3">
                  <c:v>PROTECCION</c:v>
                </c:pt>
                <c:pt idx="4">
                  <c:v>FLETE A SECADERO</c:v>
                </c:pt>
                <c:pt idx="5">
                  <c:v>SECADO </c:v>
                </c:pt>
                <c:pt idx="6">
                  <c:v>ARRENDAMIENTO</c:v>
                </c:pt>
                <c:pt idx="7">
                  <c:v>COSECHA Y ACARREO</c:v>
                </c:pt>
                <c:pt idx="8">
                  <c:v>ESTRUCTURA</c:v>
                </c:pt>
                <c:pt idx="9">
                  <c:v>AMORTIZACIONES</c:v>
                </c:pt>
              </c:strCache>
            </c:strRef>
          </c:cat>
          <c:val>
            <c:numRef>
              <c:f>('[1]Hoja1'!$H$219,'[1]Hoja1'!$H$222:$H$228,'[1]Hoja1'!$H$231:$H$232)</c:f>
              <c:numCache>
                <c:ptCount val="10"/>
                <c:pt idx="0">
                  <c:v>0.1308213677006408</c:v>
                </c:pt>
                <c:pt idx="1">
                  <c:v>0.2184526675862242</c:v>
                </c:pt>
                <c:pt idx="2">
                  <c:v>0.15362645323358518</c:v>
                </c:pt>
                <c:pt idx="3">
                  <c:v>0.07745702329619324</c:v>
                </c:pt>
                <c:pt idx="4">
                  <c:v>0.02954687918091353</c:v>
                </c:pt>
                <c:pt idx="5">
                  <c:v>0.10095183720145454</c:v>
                </c:pt>
                <c:pt idx="6">
                  <c:v>0.07793328224323522</c:v>
                </c:pt>
                <c:pt idx="7">
                  <c:v>0.12988880373872536</c:v>
                </c:pt>
                <c:pt idx="8">
                  <c:v>0.0660738697279603</c:v>
                </c:pt>
                <c:pt idx="9">
                  <c:v>0.01524781609106776</c:v>
                </c:pt>
              </c:numCache>
            </c:numRef>
          </c:val>
        </c:ser>
        <c:firstSliceAng val="340"/>
      </c:pie3DChart>
      <c:spPr>
        <a:noFill/>
        <a:ln>
          <a:noFill/>
        </a:ln>
      </c:spPr>
    </c:plotArea>
    <c:sideWall>
      <c:thickness val="0"/>
    </c:sideWall>
    <c:backWall>
      <c:thickness val="0"/>
    </c:backWall>
    <c:plotVisOnly val="1"/>
    <c:dispBlanksAs val="gap"/>
    <c:showDLblsOverMax val="0"/>
  </c:chart>
  <c:spPr>
    <a:solidFill>
      <a:srgbClr val="008080"/>
    </a:solidFill>
    <a:ln w="3175">
      <a:solidFill>
        <a:srgbClr val="FFFFFF"/>
      </a:solidFill>
    </a:ln>
  </c:spPr>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FFFF"/>
                </a:solidFill>
                <a:latin typeface="Arial"/>
                <a:ea typeface="Arial"/>
                <a:cs typeface="Arial"/>
              </a:rPr>
              <a:t>PARTICIPACION EN INGRESOS TOTALES</a:t>
            </a:r>
          </a:p>
        </c:rich>
      </c:tx>
      <c:layout/>
      <c:spPr>
        <a:noFill/>
        <a:ln>
          <a:noFill/>
        </a:ln>
      </c:spPr>
    </c:title>
    <c:view3D>
      <c:rotX val="15"/>
      <c:hPercent val="100"/>
      <c:rotY val="120"/>
      <c:depthPercent val="100"/>
      <c:rAngAx val="1"/>
    </c:view3D>
    <c:plotArea>
      <c:layout>
        <c:manualLayout>
          <c:xMode val="edge"/>
          <c:yMode val="edge"/>
          <c:x val="0.256"/>
          <c:y val="0.2945"/>
          <c:w val="0.59225"/>
          <c:h val="0.57475"/>
        </c:manualLayout>
      </c:layout>
      <c:pie3DChart>
        <c:varyColors val="1"/>
        <c:ser>
          <c:idx val="0"/>
          <c:order val="0"/>
          <c:spPr>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FF"/>
              </a:solidFill>
              <a:ln w="3175">
                <a:noFill/>
              </a:ln>
            </c:spPr>
          </c:dPt>
          <c:dPt>
            <c:idx val="1"/>
            <c:spPr>
              <a:solidFill>
                <a:srgbClr val="FFFFCC"/>
              </a:solidFill>
              <a:ln w="3175">
                <a:noFill/>
              </a:ln>
            </c:spPr>
          </c:dPt>
          <c:dLbls>
            <c:dLbl>
              <c:idx val="0"/>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1"/>
            <c:showSerName val="0"/>
            <c:showLeaderLines val="1"/>
            <c:showPercent val="1"/>
            <c:leaderLines>
              <c:spPr>
                <a:ln w="3175">
                  <a:solidFill>
                    <a:srgbClr val="FFFFFF"/>
                  </a:solidFill>
                </a:ln>
              </c:spPr>
            </c:leaderLines>
          </c:dLbls>
          <c:cat>
            <c:strRef>
              <c:f>('[1]Hoja1'!$C$238,'[1]Hoja1'!$C$241)</c:f>
              <c:strCache>
                <c:ptCount val="2"/>
                <c:pt idx="0">
                  <c:v>COSTOS TOTALES</c:v>
                </c:pt>
                <c:pt idx="1">
                  <c:v>MARGEN BRUTO</c:v>
                </c:pt>
              </c:strCache>
            </c:strRef>
          </c:cat>
          <c:val>
            <c:numRef>
              <c:f>('[1]Hoja1'!$F$238,'[1]Hoja1'!$F$241)</c:f>
              <c:numCache>
                <c:ptCount val="2"/>
                <c:pt idx="0">
                  <c:v>2656.1180799999997</c:v>
                </c:pt>
                <c:pt idx="1">
                  <c:v>103.88192000000026</c:v>
                </c:pt>
              </c:numCache>
            </c:numRef>
          </c:val>
        </c:ser>
        <c:firstSliceAng val="120"/>
      </c:pie3DChart>
      <c:spPr>
        <a:noFill/>
        <a:ln>
          <a:noFill/>
        </a:ln>
      </c:spPr>
    </c:plotArea>
    <c:sideWall>
      <c:thickness val="0"/>
    </c:sideWall>
    <c:backWall>
      <c:thickness val="0"/>
    </c:backWall>
    <c:plotVisOnly val="1"/>
    <c:dispBlanksAs val="gap"/>
    <c:showDLblsOverMax val="0"/>
  </c:chart>
  <c:spPr>
    <a:solidFill>
      <a:srgbClr val="008080"/>
    </a:solidFill>
    <a:ln w="3175">
      <a:solidFill>
        <a:srgbClr val="FFFFFF"/>
      </a:solidFill>
    </a:ln>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FFFF"/>
                </a:solidFill>
                <a:latin typeface="Arial"/>
                <a:ea typeface="Arial"/>
                <a:cs typeface="Arial"/>
              </a:rPr>
              <a:t>RENDIMIENTO INDIFERENCIA</a:t>
            </a:r>
          </a:p>
        </c:rich>
      </c:tx>
      <c:layout>
        <c:manualLayout>
          <c:xMode val="factor"/>
          <c:yMode val="factor"/>
          <c:x val="0"/>
          <c:y val="-0.02"/>
        </c:manualLayout>
      </c:layout>
      <c:spPr>
        <a:noFill/>
        <a:ln>
          <a:noFill/>
        </a:ln>
      </c:spPr>
    </c:title>
    <c:view3D>
      <c:rotX val="15"/>
      <c:rotY val="20"/>
      <c:depthPercent val="100"/>
      <c:rAngAx val="1"/>
    </c:view3D>
    <c:plotArea>
      <c:layout>
        <c:manualLayout>
          <c:xMode val="edge"/>
          <c:yMode val="edge"/>
          <c:x val="0.00325"/>
          <c:y val="0.004"/>
          <c:w val="0.733"/>
          <c:h val="0.9995"/>
        </c:manualLayout>
      </c:layout>
      <c:bar3DChart>
        <c:barDir val="col"/>
        <c:grouping val="clustered"/>
        <c:varyColors val="0"/>
        <c:ser>
          <c:idx val="1"/>
          <c:order val="0"/>
          <c:tx>
            <c:v>INGRESOS</c:v>
          </c:tx>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50" b="1" i="0" u="none" baseline="0">
                    <a:latin typeface="Arial"/>
                    <a:ea typeface="Arial"/>
                    <a:cs typeface="Arial"/>
                  </a:defRPr>
                </a:pPr>
              </a:p>
            </c:txPr>
            <c:showLegendKey val="0"/>
            <c:showVal val="1"/>
            <c:showBubbleSize val="0"/>
            <c:showCatName val="0"/>
            <c:showSerName val="0"/>
            <c:showPercent val="0"/>
          </c:dLbls>
          <c:val>
            <c:numRef>
              <c:f>'[1]Hoja1'!$H$237</c:f>
              <c:numCache>
                <c:ptCount val="1"/>
                <c:pt idx="0">
                  <c:v>6000</c:v>
                </c:pt>
              </c:numCache>
            </c:numRef>
          </c:val>
          <c:shape val="box"/>
        </c:ser>
        <c:ser>
          <c:idx val="3"/>
          <c:order val="1"/>
          <c:tx>
            <c:v>RENDIMIENTO INDIFERENCIA</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750" b="1" i="0" u="none" baseline="0">
                      <a:latin typeface="Arial"/>
                      <a:ea typeface="Arial"/>
                      <a:cs typeface="Arial"/>
                    </a:defRPr>
                  </a:pPr>
                </a:p>
              </c:txPr>
              <c:numFmt formatCode="#,##0" sourceLinked="0"/>
              <c:showLegendKey val="0"/>
              <c:showVal val="1"/>
              <c:showBubbleSize val="0"/>
              <c:showCatName val="0"/>
              <c:showSerName val="0"/>
              <c:showPercent val="0"/>
            </c:dLbl>
            <c:numFmt formatCode="General" sourceLinked="1"/>
            <c:txPr>
              <a:bodyPr vert="horz" rot="0" anchor="ctr"/>
              <a:lstStyle/>
              <a:p>
                <a:pPr algn="ctr">
                  <a:defRPr lang="en-US" cap="none" sz="750" b="1" i="0" u="none" baseline="0">
                    <a:latin typeface="Arial"/>
                    <a:ea typeface="Arial"/>
                    <a:cs typeface="Arial"/>
                  </a:defRPr>
                </a:pPr>
              </a:p>
            </c:txPr>
            <c:showLegendKey val="0"/>
            <c:showVal val="1"/>
            <c:showBubbleSize val="0"/>
            <c:showCatName val="0"/>
            <c:showSerName val="0"/>
            <c:showPercent val="0"/>
          </c:dLbls>
          <c:val>
            <c:numRef>
              <c:f>'[1]Hoja1'!$H$243</c:f>
              <c:numCache>
                <c:ptCount val="1"/>
                <c:pt idx="0">
                  <c:v>5741.73502722323</c:v>
                </c:pt>
              </c:numCache>
            </c:numRef>
          </c:val>
          <c:shape val="box"/>
        </c:ser>
        <c:ser>
          <c:idx val="5"/>
          <c:order val="2"/>
          <c:tx>
            <c:v>PAGOS EN PRODUCTO</c:v>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50" b="1" i="0" u="none" baseline="0">
                      <a:latin typeface="Arial"/>
                      <a:ea typeface="Arial"/>
                      <a:cs typeface="Arial"/>
                    </a:defRPr>
                  </a:pPr>
                </a:p>
              </c:txPr>
              <c:numFmt formatCode="#,##0" sourceLinked="0"/>
              <c:showLegendKey val="0"/>
              <c:showVal val="1"/>
              <c:showBubbleSize val="0"/>
              <c:showCatName val="0"/>
              <c:showSerName val="0"/>
              <c:showPercent val="0"/>
            </c:dLbl>
            <c:numFmt formatCode="General" sourceLinked="1"/>
            <c:txPr>
              <a:bodyPr vert="horz" rot="0" anchor="ctr"/>
              <a:lstStyle/>
              <a:p>
                <a:pPr algn="ctr">
                  <a:defRPr lang="en-US" cap="none" sz="750" b="1" i="0" u="none" baseline="0">
                    <a:latin typeface="Arial"/>
                    <a:ea typeface="Arial"/>
                    <a:cs typeface="Arial"/>
                  </a:defRPr>
                </a:pPr>
              </a:p>
            </c:txPr>
            <c:showLegendKey val="0"/>
            <c:showVal val="1"/>
            <c:showBubbleSize val="0"/>
            <c:showCatName val="0"/>
            <c:showSerName val="0"/>
            <c:showPercent val="0"/>
          </c:dLbls>
          <c:val>
            <c:numRef>
              <c:f>'[1]Hoja1'!$H$240</c:f>
              <c:numCache>
                <c:ptCount val="1"/>
                <c:pt idx="0">
                  <c:v>1200</c:v>
                </c:pt>
              </c:numCache>
            </c:numRef>
          </c:val>
          <c:shape val="box"/>
        </c:ser>
        <c:shape val="box"/>
        <c:axId val="9321840"/>
        <c:axId val="24295473"/>
      </c:bar3DChart>
      <c:catAx>
        <c:axId val="9321840"/>
        <c:scaling>
          <c:orientation val="minMax"/>
        </c:scaling>
        <c:axPos val="b"/>
        <c:delete val="1"/>
        <c:majorTickMark val="out"/>
        <c:minorTickMark val="none"/>
        <c:tickLblPos val="low"/>
        <c:crossAx val="24295473"/>
        <c:crosses val="autoZero"/>
        <c:auto val="1"/>
        <c:lblOffset val="100"/>
        <c:noMultiLvlLbl val="0"/>
      </c:catAx>
      <c:valAx>
        <c:axId val="24295473"/>
        <c:scaling>
          <c:orientation val="minMax"/>
        </c:scaling>
        <c:axPos val="l"/>
        <c:title>
          <c:tx>
            <c:rich>
              <a:bodyPr vert="horz" rot="-5400000" anchor="ctr"/>
              <a:lstStyle/>
              <a:p>
                <a:pPr algn="ctr">
                  <a:defRPr/>
                </a:pPr>
                <a:r>
                  <a:rPr lang="en-US" cap="none" sz="575" b="1" i="0" u="none" baseline="0">
                    <a:solidFill>
                      <a:srgbClr val="FFFFFF"/>
                    </a:solidFill>
                    <a:latin typeface="Arial"/>
                    <a:ea typeface="Arial"/>
                    <a:cs typeface="Arial"/>
                  </a:rPr>
                  <a:t>KILOGRAMOS</a:t>
                </a:r>
              </a:p>
            </c:rich>
          </c:tx>
          <c:layout>
            <c:manualLayout>
              <c:xMode val="factor"/>
              <c:yMode val="factor"/>
              <c:x val="-0.039"/>
              <c:y val="-0.02"/>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FFFFFF"/>
            </a:solidFill>
          </a:ln>
        </c:spPr>
        <c:txPr>
          <a:bodyPr/>
          <a:lstStyle/>
          <a:p>
            <a:pPr>
              <a:defRPr lang="en-US" cap="none" sz="850" b="1" i="0" u="none" baseline="0">
                <a:solidFill>
                  <a:srgbClr val="FFFFFF"/>
                </a:solidFill>
                <a:latin typeface="Arial"/>
                <a:ea typeface="Arial"/>
                <a:cs typeface="Arial"/>
              </a:defRPr>
            </a:pPr>
          </a:p>
        </c:txPr>
        <c:crossAx val="9321840"/>
        <c:crossesAt val="1"/>
        <c:crossBetween val="between"/>
        <c:dispUnits/>
      </c:valAx>
      <c:spPr>
        <a:noFill/>
        <a:ln>
          <a:noFill/>
        </a:ln>
      </c:spPr>
    </c:plotArea>
    <c:legend>
      <c:legendPos val="r"/>
      <c:layout>
        <c:manualLayout>
          <c:xMode val="edge"/>
          <c:yMode val="edge"/>
          <c:x val="0.72325"/>
          <c:y val="0.174"/>
          <c:w val="0.27675"/>
          <c:h val="0.6075"/>
        </c:manualLayout>
      </c:layout>
      <c:overlay val="0"/>
      <c:spPr>
        <a:solidFill>
          <a:srgbClr val="008080"/>
        </a:solidFill>
        <a:ln w="3175">
          <a:solidFill>
            <a:srgbClr val="FFFFFF"/>
          </a:solidFill>
        </a:ln>
      </c:spPr>
      <c:txPr>
        <a:bodyPr vert="horz" rot="0"/>
        <a:lstStyle/>
        <a:p>
          <a:pPr>
            <a:defRPr lang="en-US" cap="none" sz="700" b="1" i="0" u="none" baseline="0">
              <a:solidFill>
                <a:srgbClr val="FFFFFF"/>
              </a:solidFill>
              <a:latin typeface="Arial"/>
              <a:ea typeface="Arial"/>
              <a:cs typeface="Arial"/>
            </a:defRPr>
          </a:pPr>
        </a:p>
      </c:txPr>
    </c:legend>
    <c:floor>
      <c:spPr>
        <a:solidFill>
          <a:srgbClr val="008080"/>
        </a:solidFill>
        <a:ln w="3175">
          <a:solidFill>
            <a:srgbClr val="FFFFFF"/>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8080"/>
    </a:solidFill>
    <a:ln w="3175">
      <a:solidFill>
        <a:srgbClr val="FFFFFF"/>
      </a:solidFill>
    </a:ln>
  </c:spPr>
  <c:txPr>
    <a:bodyPr vert="horz" rot="0"/>
    <a:lstStyle/>
    <a:p>
      <a:pPr>
        <a:defRPr lang="en-US" cap="none" sz="8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FFFF"/>
                </a:solidFill>
                <a:latin typeface="Arial"/>
                <a:ea typeface="Arial"/>
                <a:cs typeface="Arial"/>
              </a:rPr>
              <a:t>INGRESOS TOTALES</a:t>
            </a:r>
          </a:p>
        </c:rich>
      </c:tx>
      <c:layout>
        <c:manualLayout>
          <c:xMode val="factor"/>
          <c:yMode val="factor"/>
          <c:x val="0"/>
          <c:y val="-0.02075"/>
        </c:manualLayout>
      </c:layout>
      <c:spPr>
        <a:noFill/>
        <a:ln>
          <a:noFill/>
        </a:ln>
      </c:spPr>
    </c:title>
    <c:view3D>
      <c:rotX val="15"/>
      <c:rotY val="20"/>
      <c:depthPercent val="100"/>
      <c:rAngAx val="1"/>
    </c:view3D>
    <c:plotArea>
      <c:layout>
        <c:manualLayout>
          <c:xMode val="edge"/>
          <c:yMode val="edge"/>
          <c:x val="0"/>
          <c:y val="0.0715"/>
          <c:w val="0.79625"/>
          <c:h val="0.9285"/>
        </c:manualLayout>
      </c:layout>
      <c:bar3DChart>
        <c:barDir val="col"/>
        <c:grouping val="stacked"/>
        <c:varyColors val="0"/>
        <c:ser>
          <c:idx val="0"/>
          <c:order val="0"/>
          <c:tx>
            <c:strRef>
              <c:f>'[1]Hoja1'!$C$238</c:f>
              <c:strCache>
                <c:ptCount val="1"/>
                <c:pt idx="0">
                  <c:v>COSTOS TOTALES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25" b="1" i="0" u="none" baseline="0">
                    <a:latin typeface="Arial"/>
                    <a:ea typeface="Arial"/>
                    <a:cs typeface="Arial"/>
                  </a:defRPr>
                </a:pPr>
              </a:p>
            </c:txPr>
            <c:showLegendKey val="0"/>
            <c:showVal val="1"/>
            <c:showBubbleSize val="0"/>
            <c:showCatName val="0"/>
            <c:showSerName val="0"/>
            <c:showPercent val="0"/>
          </c:dLbls>
          <c:val>
            <c:numRef>
              <c:f>'[1]Hoja1'!$F$238</c:f>
              <c:numCache>
                <c:ptCount val="1"/>
                <c:pt idx="0">
                  <c:v>2656.1180799999997</c:v>
                </c:pt>
              </c:numCache>
            </c:numRef>
          </c:val>
          <c:shape val="box"/>
        </c:ser>
        <c:ser>
          <c:idx val="1"/>
          <c:order val="1"/>
          <c:tx>
            <c:strRef>
              <c:f>'[1]Hoja1'!$C$241</c:f>
              <c:strCache>
                <c:ptCount val="1"/>
                <c:pt idx="0">
                  <c:v>MARGEN BRUTO</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25" b="1" i="0" u="none" baseline="0">
                    <a:latin typeface="Arial"/>
                    <a:ea typeface="Arial"/>
                    <a:cs typeface="Arial"/>
                  </a:defRPr>
                </a:pPr>
              </a:p>
            </c:txPr>
            <c:showLegendKey val="0"/>
            <c:showVal val="1"/>
            <c:showBubbleSize val="0"/>
            <c:showCatName val="0"/>
            <c:showSerName val="0"/>
            <c:showPercent val="0"/>
          </c:dLbls>
          <c:val>
            <c:numRef>
              <c:f>'[1]Hoja1'!$F$241</c:f>
              <c:numCache>
                <c:ptCount val="1"/>
                <c:pt idx="0">
                  <c:v>103.88192000000026</c:v>
                </c:pt>
              </c:numCache>
            </c:numRef>
          </c:val>
          <c:shape val="box"/>
        </c:ser>
        <c:overlap val="100"/>
        <c:shape val="box"/>
        <c:axId val="12591654"/>
        <c:axId val="63377887"/>
      </c:bar3DChart>
      <c:catAx>
        <c:axId val="12591654"/>
        <c:scaling>
          <c:orientation val="minMax"/>
        </c:scaling>
        <c:axPos val="b"/>
        <c:delete val="1"/>
        <c:majorTickMark val="out"/>
        <c:minorTickMark val="none"/>
        <c:tickLblPos val="low"/>
        <c:crossAx val="63377887"/>
        <c:crosses val="autoZero"/>
        <c:auto val="1"/>
        <c:lblOffset val="100"/>
        <c:noMultiLvlLbl val="0"/>
      </c:catAx>
      <c:valAx>
        <c:axId val="63377887"/>
        <c:scaling>
          <c:orientation val="minMax"/>
          <c:min val="0"/>
        </c:scaling>
        <c:axPos val="l"/>
        <c:majorGridlines>
          <c:spPr>
            <a:ln w="3175">
              <a:solidFill>
                <a:srgbClr val="FFFFFF"/>
              </a:solidFill>
            </a:ln>
          </c:spPr>
        </c:majorGridlines>
        <c:delete val="0"/>
        <c:numFmt formatCode="#,##0" sourceLinked="0"/>
        <c:majorTickMark val="out"/>
        <c:minorTickMark val="none"/>
        <c:tickLblPos val="nextTo"/>
        <c:spPr>
          <a:ln w="3175">
            <a:solidFill>
              <a:srgbClr val="FFFFFF"/>
            </a:solidFill>
          </a:ln>
        </c:spPr>
        <c:txPr>
          <a:bodyPr/>
          <a:lstStyle/>
          <a:p>
            <a:pPr>
              <a:defRPr lang="en-US" cap="none" sz="825" b="1" i="0" u="none" baseline="0">
                <a:solidFill>
                  <a:srgbClr val="FFFFFF"/>
                </a:solidFill>
                <a:latin typeface="Arial"/>
                <a:ea typeface="Arial"/>
                <a:cs typeface="Arial"/>
              </a:defRPr>
            </a:pPr>
          </a:p>
        </c:txPr>
        <c:crossAx val="12591654"/>
        <c:crossesAt val="1"/>
        <c:crossBetween val="between"/>
        <c:dispUnits/>
      </c:valAx>
      <c:spPr>
        <a:noFill/>
        <a:ln>
          <a:noFill/>
        </a:ln>
      </c:spPr>
    </c:plotArea>
    <c:legend>
      <c:legendPos val="r"/>
      <c:layout>
        <c:manualLayout>
          <c:xMode val="edge"/>
          <c:yMode val="edge"/>
          <c:x val="0.7915"/>
          <c:y val="0.303"/>
          <c:w val="0.1955"/>
          <c:h val="0.4215"/>
        </c:manualLayout>
      </c:layout>
      <c:overlay val="0"/>
      <c:spPr>
        <a:solidFill>
          <a:srgbClr val="008080"/>
        </a:solidFill>
        <a:ln w="12700">
          <a:solidFill>
            <a:srgbClr val="FFFFFF"/>
          </a:solidFill>
        </a:ln>
      </c:spPr>
      <c:txPr>
        <a:bodyPr vert="horz" rot="0"/>
        <a:lstStyle/>
        <a:p>
          <a:pPr>
            <a:defRPr lang="en-US" cap="none" sz="700" b="1" i="0" u="none" baseline="0">
              <a:solidFill>
                <a:srgbClr val="FFFFFF"/>
              </a:solidFill>
              <a:latin typeface="Arial"/>
              <a:ea typeface="Arial"/>
              <a:cs typeface="Arial"/>
            </a:defRPr>
          </a:pPr>
        </a:p>
      </c:txPr>
    </c:legend>
    <c:floor>
      <c:spPr>
        <a:noFill/>
        <a:ln w="12700">
          <a:solidFill>
            <a:srgbClr val="FFFFFF"/>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008080"/>
    </a:solidFill>
    <a:ln w="3175">
      <a:solidFill>
        <a:srgbClr val="FFFFFF"/>
      </a:solidFill>
    </a:ln>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177</xdr:row>
      <xdr:rowOff>114300</xdr:rowOff>
    </xdr:from>
    <xdr:to>
      <xdr:col>12</xdr:col>
      <xdr:colOff>514350</xdr:colOff>
      <xdr:row>194</xdr:row>
      <xdr:rowOff>19050</xdr:rowOff>
    </xdr:to>
    <xdr:graphicFrame>
      <xdr:nvGraphicFramePr>
        <xdr:cNvPr id="1" name="Chart 1"/>
        <xdr:cNvGraphicFramePr/>
      </xdr:nvGraphicFramePr>
      <xdr:xfrm>
        <a:off x="4953000" y="36566475"/>
        <a:ext cx="3514725" cy="3171825"/>
      </xdr:xfrm>
      <a:graphic>
        <a:graphicData uri="http://schemas.openxmlformats.org/drawingml/2006/chart">
          <c:chart xmlns:c="http://schemas.openxmlformats.org/drawingml/2006/chart" r:id="rId1"/>
        </a:graphicData>
      </a:graphic>
    </xdr:graphicFrame>
    <xdr:clientData/>
  </xdr:twoCellAnchor>
  <xdr:twoCellAnchor>
    <xdr:from>
      <xdr:col>8</xdr:col>
      <xdr:colOff>38100</xdr:colOff>
      <xdr:row>215</xdr:row>
      <xdr:rowOff>200025</xdr:rowOff>
    </xdr:from>
    <xdr:to>
      <xdr:col>12</xdr:col>
      <xdr:colOff>495300</xdr:colOff>
      <xdr:row>226</xdr:row>
      <xdr:rowOff>114300</xdr:rowOff>
    </xdr:to>
    <xdr:graphicFrame>
      <xdr:nvGraphicFramePr>
        <xdr:cNvPr id="2" name="Chart 2"/>
        <xdr:cNvGraphicFramePr/>
      </xdr:nvGraphicFramePr>
      <xdr:xfrm>
        <a:off x="4943475" y="43919775"/>
        <a:ext cx="3505200" cy="1838325"/>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226</xdr:row>
      <xdr:rowOff>114300</xdr:rowOff>
    </xdr:from>
    <xdr:to>
      <xdr:col>12</xdr:col>
      <xdr:colOff>495300</xdr:colOff>
      <xdr:row>244</xdr:row>
      <xdr:rowOff>19050</xdr:rowOff>
    </xdr:to>
    <xdr:graphicFrame>
      <xdr:nvGraphicFramePr>
        <xdr:cNvPr id="3" name="Chart 3"/>
        <xdr:cNvGraphicFramePr/>
      </xdr:nvGraphicFramePr>
      <xdr:xfrm>
        <a:off x="4924425" y="45758100"/>
        <a:ext cx="3524250" cy="3352800"/>
      </xdr:xfrm>
      <a:graphic>
        <a:graphicData uri="http://schemas.openxmlformats.org/drawingml/2006/chart">
          <c:chart xmlns:c="http://schemas.openxmlformats.org/drawingml/2006/chart" r:id="rId3"/>
        </a:graphicData>
      </a:graphic>
    </xdr:graphicFrame>
    <xdr:clientData/>
  </xdr:twoCellAnchor>
  <xdr:twoCellAnchor>
    <xdr:from>
      <xdr:col>8</xdr:col>
      <xdr:colOff>47625</xdr:colOff>
      <xdr:row>194</xdr:row>
      <xdr:rowOff>66675</xdr:rowOff>
    </xdr:from>
    <xdr:to>
      <xdr:col>12</xdr:col>
      <xdr:colOff>514350</xdr:colOff>
      <xdr:row>215</xdr:row>
      <xdr:rowOff>209550</xdr:rowOff>
    </xdr:to>
    <xdr:graphicFrame>
      <xdr:nvGraphicFramePr>
        <xdr:cNvPr id="4" name="Chart 4"/>
        <xdr:cNvGraphicFramePr/>
      </xdr:nvGraphicFramePr>
      <xdr:xfrm>
        <a:off x="4953000" y="39785925"/>
        <a:ext cx="3514725" cy="4143375"/>
      </xdr:xfrm>
      <a:graphic>
        <a:graphicData uri="http://schemas.openxmlformats.org/drawingml/2006/chart">
          <c:chart xmlns:c="http://schemas.openxmlformats.org/drawingml/2006/chart" r:id="rId4"/>
        </a:graphicData>
      </a:graphic>
    </xdr:graphicFrame>
    <xdr:clientData/>
  </xdr:twoCellAnchor>
  <xdr:twoCellAnchor>
    <xdr:from>
      <xdr:col>2</xdr:col>
      <xdr:colOff>38100</xdr:colOff>
      <xdr:row>0</xdr:row>
      <xdr:rowOff>76200</xdr:rowOff>
    </xdr:from>
    <xdr:to>
      <xdr:col>7</xdr:col>
      <xdr:colOff>904875</xdr:colOff>
      <xdr:row>5</xdr:row>
      <xdr:rowOff>1885950</xdr:rowOff>
    </xdr:to>
    <xdr:sp>
      <xdr:nvSpPr>
        <xdr:cNvPr id="5" name="TextBox 30"/>
        <xdr:cNvSpPr txBox="1">
          <a:spLocks noChangeArrowheads="1"/>
        </xdr:cNvSpPr>
      </xdr:nvSpPr>
      <xdr:spPr>
        <a:xfrm>
          <a:off x="276225" y="76200"/>
          <a:ext cx="4581525" cy="3724275"/>
        </a:xfrm>
        <a:prstGeom prst="rect">
          <a:avLst/>
        </a:prstGeom>
        <a:solidFill>
          <a:srgbClr val="CCFFFF"/>
        </a:solidFill>
        <a:ln w="76200" cmpd="tri">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PROGRAMA DE ESTRUCTURA DE COSTOS: SITUACIÓN REPRESA
ACLARACIONES:
1) El botón rojo adjuntado a algunos ítemes, contiene instrucciones que ayudan a completar correctamente la planilla. Incluye indicaciones sobre la propia conformación del ítem, y sobre como rellenar las correspondientes celdas en blanco. Mantener el cursor del mouse sobre el mismo durante el tiempo de lectura.
2) Las celdas en blanco son las únicas que deben ser completadas. Las mismas incluyen valores  meramente ejemplificativos, los cuales deben ser ajustados a la situación específica de cada explotación.
3) Prestar particular atención a las unidades en las que está expresada cada celda modificable (celda en blanco), con el objeto de que los resultados arrojados por las celdas autocalculables conserven su coherencia. Los precios a incluir son sin IVA, salvo indicación en contrario.
4) Asegurarse de dejar en cero (salvo indicación en contrario), tanto en dosis como precios, las celdas de aquellos conceptos que no considera en su explotación.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iober%20SRL\Escritorio\Informes\Costo%20de%20Producci&#243;n%20Rio%20Paran&#22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sheetDataSet>
      <sheetData sheetId="0">
        <row r="219">
          <cell r="C219" t="str">
            <v>IMPLANTACIÓN</v>
          </cell>
          <cell r="H219">
            <v>0.1308213677006408</v>
          </cell>
        </row>
        <row r="222">
          <cell r="C222" t="str">
            <v>RIEGO</v>
          </cell>
          <cell r="H222">
            <v>0.2184526675862242</v>
          </cell>
        </row>
        <row r="223">
          <cell r="C223" t="str">
            <v>FERTILIZACION</v>
          </cell>
          <cell r="H223">
            <v>0.15362645323358518</v>
          </cell>
        </row>
        <row r="224">
          <cell r="C224" t="str">
            <v>PROTECCION</v>
          </cell>
          <cell r="H224">
            <v>0.07745702329619324</v>
          </cell>
        </row>
        <row r="225">
          <cell r="C225" t="str">
            <v>FLETE A SECADERO</v>
          </cell>
          <cell r="H225">
            <v>0.02954687918091353</v>
          </cell>
        </row>
        <row r="226">
          <cell r="C226" t="str">
            <v>SECADO </v>
          </cell>
          <cell r="H226">
            <v>0.10095183720145454</v>
          </cell>
        </row>
        <row r="227">
          <cell r="C227" t="str">
            <v>ARRENDAMIENTO</v>
          </cell>
          <cell r="H227">
            <v>0.07793328224323522</v>
          </cell>
        </row>
        <row r="228">
          <cell r="C228" t="str">
            <v>COSECHA Y ACARREO</v>
          </cell>
          <cell r="H228">
            <v>0.12988880373872536</v>
          </cell>
        </row>
        <row r="231">
          <cell r="C231" t="str">
            <v>ESTRUCTURA</v>
          </cell>
          <cell r="H231">
            <v>0.0660738697279603</v>
          </cell>
        </row>
        <row r="232">
          <cell r="C232" t="str">
            <v>AMORTIZACIONES</v>
          </cell>
          <cell r="H232">
            <v>0.01524781609106776</v>
          </cell>
        </row>
        <row r="237">
          <cell r="H237">
            <v>6000</v>
          </cell>
        </row>
        <row r="238">
          <cell r="C238" t="str">
            <v>COSTOS TOTALES</v>
          </cell>
          <cell r="F238">
            <v>2656.1180799999997</v>
          </cell>
        </row>
        <row r="240">
          <cell r="H240">
            <v>1200</v>
          </cell>
        </row>
        <row r="241">
          <cell r="C241" t="str">
            <v>MARGEN BRUTO</v>
          </cell>
          <cell r="F241">
            <v>103.88192000000026</v>
          </cell>
        </row>
        <row r="243">
          <cell r="H243">
            <v>5741.73502722323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L250"/>
  <sheetViews>
    <sheetView showGridLines="0" tabSelected="1" zoomScale="85" zoomScaleNormal="85" workbookViewId="0" topLeftCell="A1">
      <selection activeCell="M4" sqref="M4"/>
    </sheetView>
  </sheetViews>
  <sheetFormatPr defaultColWidth="11.421875" defaultRowHeight="12.75"/>
  <cols>
    <col min="1" max="1" width="0.9921875" style="1" customWidth="1"/>
    <col min="2" max="2" width="2.57421875" style="1" customWidth="1"/>
    <col min="3" max="3" width="2.8515625" style="1" customWidth="1"/>
    <col min="4" max="4" width="10.28125" style="1" customWidth="1"/>
    <col min="5" max="5" width="10.7109375" style="1" customWidth="1"/>
    <col min="6" max="6" width="20.7109375" style="1" customWidth="1"/>
    <col min="7" max="7" width="11.140625" style="1" customWidth="1"/>
    <col min="8" max="8" width="14.28125" style="1" customWidth="1"/>
    <col min="9" max="16384" width="11.421875" style="1" customWidth="1"/>
  </cols>
  <sheetData>
    <row r="1" ht="12.75"/>
    <row r="2" ht="99.75" customHeight="1">
      <c r="D2" s="2"/>
    </row>
    <row r="3" ht="12.75"/>
    <row r="4" ht="12.75"/>
    <row r="5" ht="12.75"/>
    <row r="6" ht="153.75" customHeight="1" thickBot="1"/>
    <row r="7" spans="2:8" ht="18.75" thickBot="1">
      <c r="B7" s="3"/>
      <c r="C7" s="100" t="s">
        <v>80</v>
      </c>
      <c r="D7" s="101"/>
      <c r="E7" s="101"/>
      <c r="F7" s="101"/>
      <c r="G7" s="101"/>
      <c r="H7" s="102"/>
    </row>
    <row r="8" spans="2:8" ht="13.5" thickBot="1">
      <c r="B8" s="4"/>
      <c r="C8" s="5" t="s">
        <v>40</v>
      </c>
      <c r="D8" s="6"/>
      <c r="E8" s="7"/>
      <c r="F8" s="7"/>
      <c r="G8" s="8">
        <v>68</v>
      </c>
      <c r="H8" s="9" t="s">
        <v>8</v>
      </c>
    </row>
    <row r="9" spans="2:8" ht="13.5" thickTop="1">
      <c r="B9" s="3"/>
      <c r="C9" s="10" t="s">
        <v>110</v>
      </c>
      <c r="D9" s="6"/>
      <c r="E9" s="6"/>
      <c r="F9" s="6"/>
      <c r="G9" s="11">
        <v>3.1</v>
      </c>
      <c r="H9" s="12" t="s">
        <v>60</v>
      </c>
    </row>
    <row r="10" spans="2:8" ht="12.75">
      <c r="B10" s="4"/>
      <c r="C10" s="109" t="s">
        <v>59</v>
      </c>
      <c r="D10" s="110"/>
      <c r="E10" s="110"/>
      <c r="F10" s="110"/>
      <c r="G10" s="13" t="s">
        <v>42</v>
      </c>
      <c r="H10" s="14" t="s">
        <v>61</v>
      </c>
    </row>
    <row r="11" spans="2:9" ht="13.5" thickBot="1">
      <c r="B11" s="3"/>
      <c r="C11" s="111"/>
      <c r="D11" s="112"/>
      <c r="E11" s="112"/>
      <c r="F11" s="112"/>
      <c r="G11" s="15">
        <v>1.63</v>
      </c>
      <c r="H11" s="16">
        <f>+G11*0.76</f>
        <v>1.2388</v>
      </c>
      <c r="I11" s="17"/>
    </row>
    <row r="12" spans="2:8" ht="14.25" thickBot="1" thickTop="1">
      <c r="B12" s="3"/>
      <c r="C12" s="18" t="s">
        <v>109</v>
      </c>
      <c r="D12" s="19"/>
      <c r="E12" s="19"/>
      <c r="F12" s="19"/>
      <c r="G12" s="20">
        <v>800</v>
      </c>
      <c r="H12" s="21" t="s">
        <v>26</v>
      </c>
    </row>
    <row r="13" spans="2:8" ht="13.5" thickBot="1">
      <c r="B13" s="3"/>
      <c r="C13" s="3"/>
      <c r="D13" s="3"/>
      <c r="E13" s="3"/>
      <c r="F13" s="3"/>
      <c r="G13" s="22"/>
      <c r="H13" s="23"/>
    </row>
    <row r="14" spans="2:8" ht="18.75" thickBot="1">
      <c r="B14" s="3"/>
      <c r="C14" s="100" t="s">
        <v>77</v>
      </c>
      <c r="D14" s="101"/>
      <c r="E14" s="101"/>
      <c r="F14" s="101"/>
      <c r="G14" s="101"/>
      <c r="H14" s="102"/>
    </row>
    <row r="15" spans="2:8" ht="17.25" customHeight="1" thickBot="1" thickTop="1">
      <c r="B15" s="3"/>
      <c r="C15" s="10" t="s">
        <v>112</v>
      </c>
      <c r="D15" s="6"/>
      <c r="E15" s="6"/>
      <c r="F15" s="6"/>
      <c r="G15" s="24">
        <v>6000</v>
      </c>
      <c r="H15" s="12" t="s">
        <v>65</v>
      </c>
    </row>
    <row r="16" spans="2:8" ht="17.25" customHeight="1" thickTop="1">
      <c r="B16" s="25"/>
      <c r="C16" s="10" t="s">
        <v>41</v>
      </c>
      <c r="D16" s="6"/>
      <c r="E16" s="6"/>
      <c r="F16" s="6"/>
      <c r="G16" s="24">
        <v>460</v>
      </c>
      <c r="H16" s="12" t="s">
        <v>62</v>
      </c>
    </row>
    <row r="17" spans="2:8" ht="17.25" customHeight="1" thickBot="1">
      <c r="B17" s="3"/>
      <c r="C17" s="26" t="s">
        <v>89</v>
      </c>
      <c r="D17" s="27"/>
      <c r="E17" s="27"/>
      <c r="F17" s="27"/>
      <c r="G17" s="27">
        <f>G15*G16/1000</f>
        <v>2760</v>
      </c>
      <c r="H17" s="28" t="s">
        <v>8</v>
      </c>
    </row>
    <row r="18" spans="2:8" ht="17.25" customHeight="1" thickBot="1">
      <c r="B18" s="3"/>
      <c r="C18" s="29"/>
      <c r="D18" s="30"/>
      <c r="E18" s="30"/>
      <c r="F18" s="30"/>
      <c r="G18" s="15"/>
      <c r="H18" s="31"/>
    </row>
    <row r="19" spans="2:8" ht="18.75" thickBot="1">
      <c r="B19" s="25"/>
      <c r="C19" s="100" t="s">
        <v>58</v>
      </c>
      <c r="D19" s="101"/>
      <c r="E19" s="101"/>
      <c r="F19" s="101"/>
      <c r="G19" s="101"/>
      <c r="H19" s="102"/>
    </row>
    <row r="20" spans="2:8" ht="16.5" thickBot="1">
      <c r="B20" s="25"/>
      <c r="C20" s="94" t="s">
        <v>24</v>
      </c>
      <c r="D20" s="95"/>
      <c r="E20" s="95"/>
      <c r="F20" s="95"/>
      <c r="G20" s="95"/>
      <c r="H20" s="96"/>
    </row>
    <row r="21" spans="2:8" ht="15">
      <c r="B21" s="3"/>
      <c r="C21" s="97" t="s">
        <v>27</v>
      </c>
      <c r="D21" s="98"/>
      <c r="E21" s="98"/>
      <c r="F21" s="98"/>
      <c r="G21" s="98"/>
      <c r="H21" s="99"/>
    </row>
    <row r="22" spans="2:8" ht="12.75">
      <c r="B22" s="3"/>
      <c r="C22" s="32" t="s">
        <v>43</v>
      </c>
      <c r="D22" s="33"/>
      <c r="E22" s="33"/>
      <c r="F22" s="33"/>
      <c r="G22" s="33"/>
      <c r="H22" s="34"/>
    </row>
    <row r="23" spans="3:8" ht="13.5" thickBot="1">
      <c r="C23" s="104" t="s">
        <v>44</v>
      </c>
      <c r="D23" s="105"/>
      <c r="E23" s="105"/>
      <c r="F23" s="105"/>
      <c r="G23" s="105"/>
      <c r="H23" s="106"/>
    </row>
    <row r="24" spans="2:8" ht="14.25" thickBot="1" thickTop="1">
      <c r="B24" s="3"/>
      <c r="C24" s="10"/>
      <c r="D24" s="6"/>
      <c r="E24" s="6" t="s">
        <v>45</v>
      </c>
      <c r="F24" s="6"/>
      <c r="G24" s="24">
        <v>100</v>
      </c>
      <c r="H24" s="12" t="s">
        <v>53</v>
      </c>
    </row>
    <row r="25" spans="2:8" ht="13.5" thickTop="1">
      <c r="B25" s="3"/>
      <c r="C25" s="10"/>
      <c r="D25" s="6"/>
      <c r="E25" s="6" t="s">
        <v>52</v>
      </c>
      <c r="F25" s="6"/>
      <c r="G25" s="11">
        <v>1</v>
      </c>
      <c r="H25" s="12"/>
    </row>
    <row r="26" spans="2:8" s="38" customFormat="1" ht="12.75">
      <c r="B26" s="39"/>
      <c r="C26" s="40"/>
      <c r="D26" s="41"/>
      <c r="E26" s="41" t="s">
        <v>83</v>
      </c>
      <c r="F26" s="41"/>
      <c r="G26" s="41">
        <f>+$G$8*G25*G24/100</f>
        <v>68</v>
      </c>
      <c r="H26" s="42" t="s">
        <v>72</v>
      </c>
    </row>
    <row r="27" spans="3:8" ht="13.5" thickBot="1">
      <c r="C27" s="104" t="s">
        <v>87</v>
      </c>
      <c r="D27" s="105"/>
      <c r="E27" s="105"/>
      <c r="F27" s="105"/>
      <c r="G27" s="105"/>
      <c r="H27" s="106"/>
    </row>
    <row r="28" spans="2:8" ht="14.25" thickBot="1" thickTop="1">
      <c r="B28" s="3"/>
      <c r="C28" s="10"/>
      <c r="D28" s="6"/>
      <c r="E28" s="6" t="s">
        <v>45</v>
      </c>
      <c r="F28" s="6"/>
      <c r="G28" s="24">
        <v>100</v>
      </c>
      <c r="H28" s="12" t="s">
        <v>53</v>
      </c>
    </row>
    <row r="29" spans="2:8" ht="13.5" thickTop="1">
      <c r="B29" s="3"/>
      <c r="C29" s="10"/>
      <c r="D29" s="6"/>
      <c r="E29" s="6" t="s">
        <v>52</v>
      </c>
      <c r="F29" s="6"/>
      <c r="G29" s="11">
        <v>0.8</v>
      </c>
      <c r="H29" s="12"/>
    </row>
    <row r="30" spans="2:8" s="38" customFormat="1" ht="12.75">
      <c r="B30" s="39"/>
      <c r="C30" s="40"/>
      <c r="D30" s="41"/>
      <c r="E30" s="41" t="s">
        <v>83</v>
      </c>
      <c r="F30" s="41"/>
      <c r="G30" s="41">
        <f>+$G$8*G29*G28/100</f>
        <v>54.400000000000006</v>
      </c>
      <c r="H30" s="42" t="s">
        <v>72</v>
      </c>
    </row>
    <row r="31" spans="2:8" ht="13.5" thickBot="1">
      <c r="B31" s="3"/>
      <c r="C31" s="104" t="s">
        <v>86</v>
      </c>
      <c r="D31" s="105"/>
      <c r="E31" s="105"/>
      <c r="F31" s="105"/>
      <c r="G31" s="105"/>
      <c r="H31" s="106"/>
    </row>
    <row r="32" spans="2:8" ht="14.25" thickBot="1" thickTop="1">
      <c r="B32" s="3"/>
      <c r="C32" s="10"/>
      <c r="D32" s="6"/>
      <c r="E32" s="6" t="s">
        <v>45</v>
      </c>
      <c r="F32" s="6"/>
      <c r="G32" s="24">
        <v>100</v>
      </c>
      <c r="H32" s="12" t="s">
        <v>53</v>
      </c>
    </row>
    <row r="33" spans="2:8" ht="13.5" thickTop="1">
      <c r="B33" s="3"/>
      <c r="C33" s="10"/>
      <c r="D33" s="6"/>
      <c r="E33" s="6" t="s">
        <v>52</v>
      </c>
      <c r="F33" s="6"/>
      <c r="G33" s="11">
        <v>0.5</v>
      </c>
      <c r="H33" s="12"/>
    </row>
    <row r="34" spans="2:8" s="38" customFormat="1" ht="12.75">
      <c r="B34" s="39"/>
      <c r="C34" s="40"/>
      <c r="D34" s="41"/>
      <c r="E34" s="41" t="s">
        <v>83</v>
      </c>
      <c r="F34" s="41"/>
      <c r="G34" s="41">
        <f>+$G$8*G33*G32/100</f>
        <v>34</v>
      </c>
      <c r="H34" s="42" t="s">
        <v>72</v>
      </c>
    </row>
    <row r="35" spans="2:8" ht="13.5" thickBot="1">
      <c r="B35" s="3"/>
      <c r="C35" s="104" t="s">
        <v>28</v>
      </c>
      <c r="D35" s="105"/>
      <c r="E35" s="105"/>
      <c r="F35" s="105"/>
      <c r="G35" s="105"/>
      <c r="H35" s="106"/>
    </row>
    <row r="36" spans="2:8" ht="14.25" thickBot="1" thickTop="1">
      <c r="B36" s="3"/>
      <c r="C36" s="10"/>
      <c r="D36" s="6"/>
      <c r="E36" s="6" t="s">
        <v>45</v>
      </c>
      <c r="F36" s="6"/>
      <c r="G36" s="24">
        <v>100</v>
      </c>
      <c r="H36" s="12" t="s">
        <v>53</v>
      </c>
    </row>
    <row r="37" spans="2:8" ht="13.5" thickTop="1">
      <c r="B37" s="3"/>
      <c r="C37" s="10"/>
      <c r="D37" s="6"/>
      <c r="E37" s="6" t="s">
        <v>52</v>
      </c>
      <c r="F37" s="6"/>
      <c r="G37" s="11">
        <v>0.2</v>
      </c>
      <c r="H37" s="12"/>
    </row>
    <row r="38" spans="2:8" s="38" customFormat="1" ht="12.75">
      <c r="B38" s="39"/>
      <c r="C38" s="40"/>
      <c r="D38" s="41"/>
      <c r="E38" s="41" t="s">
        <v>83</v>
      </c>
      <c r="F38" s="41"/>
      <c r="G38" s="41">
        <f>+$G$8*G37*G36/100</f>
        <v>13.600000000000001</v>
      </c>
      <c r="H38" s="42" t="s">
        <v>72</v>
      </c>
    </row>
    <row r="39" spans="2:8" ht="13.5" thickBot="1">
      <c r="B39" s="3"/>
      <c r="C39" s="104" t="s">
        <v>29</v>
      </c>
      <c r="D39" s="105"/>
      <c r="E39" s="105"/>
      <c r="F39" s="105"/>
      <c r="G39" s="105"/>
      <c r="H39" s="106"/>
    </row>
    <row r="40" spans="2:8" ht="14.25" thickBot="1" thickTop="1">
      <c r="B40" s="3"/>
      <c r="C40" s="10"/>
      <c r="D40" s="6"/>
      <c r="E40" s="6" t="s">
        <v>45</v>
      </c>
      <c r="F40" s="6"/>
      <c r="G40" s="24">
        <v>100</v>
      </c>
      <c r="H40" s="12" t="s">
        <v>53</v>
      </c>
    </row>
    <row r="41" spans="2:8" ht="13.5" thickTop="1">
      <c r="B41" s="3"/>
      <c r="C41" s="10"/>
      <c r="D41" s="6"/>
      <c r="E41" s="6" t="s">
        <v>52</v>
      </c>
      <c r="F41" s="6"/>
      <c r="G41" s="11">
        <v>0.2</v>
      </c>
      <c r="H41" s="12"/>
    </row>
    <row r="42" spans="2:8" s="38" customFormat="1" ht="12.75">
      <c r="B42" s="39"/>
      <c r="C42" s="40"/>
      <c r="D42" s="41"/>
      <c r="E42" s="41" t="s">
        <v>83</v>
      </c>
      <c r="F42" s="41"/>
      <c r="G42" s="41">
        <f>+$G$8*G41*G40/100</f>
        <v>13.600000000000001</v>
      </c>
      <c r="H42" s="42" t="s">
        <v>72</v>
      </c>
    </row>
    <row r="43" spans="2:8" ht="13.5" thickBot="1">
      <c r="B43" s="3"/>
      <c r="C43" s="104" t="s">
        <v>30</v>
      </c>
      <c r="D43" s="105"/>
      <c r="E43" s="105"/>
      <c r="F43" s="105"/>
      <c r="G43" s="105"/>
      <c r="H43" s="106"/>
    </row>
    <row r="44" spans="2:8" ht="14.25" thickBot="1" thickTop="1">
      <c r="B44" s="3"/>
      <c r="C44" s="10"/>
      <c r="D44" s="6"/>
      <c r="E44" s="6" t="s">
        <v>45</v>
      </c>
      <c r="F44" s="6"/>
      <c r="G44" s="24">
        <v>100</v>
      </c>
      <c r="H44" s="12" t="s">
        <v>53</v>
      </c>
    </row>
    <row r="45" spans="2:8" ht="13.5" thickTop="1">
      <c r="B45" s="3"/>
      <c r="C45" s="10"/>
      <c r="D45" s="6"/>
      <c r="E45" s="6" t="s">
        <v>52</v>
      </c>
      <c r="F45" s="6"/>
      <c r="G45" s="11">
        <v>0.25</v>
      </c>
      <c r="H45" s="12"/>
    </row>
    <row r="46" spans="2:8" s="38" customFormat="1" ht="12.75">
      <c r="B46" s="39"/>
      <c r="C46" s="40"/>
      <c r="D46" s="41"/>
      <c r="E46" s="41" t="s">
        <v>83</v>
      </c>
      <c r="F46" s="41"/>
      <c r="G46" s="41">
        <f>+$G$8*G45*G44/100</f>
        <v>17</v>
      </c>
      <c r="H46" s="42" t="s">
        <v>72</v>
      </c>
    </row>
    <row r="47" spans="2:8" ht="13.5" thickBot="1">
      <c r="B47" s="3"/>
      <c r="C47" s="104" t="s">
        <v>31</v>
      </c>
      <c r="D47" s="105"/>
      <c r="E47" s="105"/>
      <c r="F47" s="105"/>
      <c r="G47" s="105"/>
      <c r="H47" s="106"/>
    </row>
    <row r="48" spans="2:8" ht="14.25" thickBot="1" thickTop="1">
      <c r="B48" s="3"/>
      <c r="C48" s="10"/>
      <c r="D48" s="6"/>
      <c r="E48" s="6" t="s">
        <v>45</v>
      </c>
      <c r="F48" s="6"/>
      <c r="G48" s="24">
        <v>100</v>
      </c>
      <c r="H48" s="12" t="s">
        <v>53</v>
      </c>
    </row>
    <row r="49" spans="2:8" ht="13.5" thickTop="1">
      <c r="B49" s="3"/>
      <c r="C49" s="10"/>
      <c r="D49" s="6"/>
      <c r="E49" s="6" t="s">
        <v>52</v>
      </c>
      <c r="F49" s="6"/>
      <c r="G49" s="11">
        <v>0.9</v>
      </c>
      <c r="H49" s="12"/>
    </row>
    <row r="50" spans="2:8" s="38" customFormat="1" ht="12.75">
      <c r="B50" s="39"/>
      <c r="C50" s="40"/>
      <c r="D50" s="41"/>
      <c r="E50" s="41" t="s">
        <v>83</v>
      </c>
      <c r="F50" s="41"/>
      <c r="G50" s="41">
        <f>+$G$8*G49*G48/100</f>
        <v>61.2</v>
      </c>
      <c r="H50" s="42" t="s">
        <v>72</v>
      </c>
    </row>
    <row r="51" spans="2:8" ht="12.75">
      <c r="B51" s="3"/>
      <c r="C51" s="10"/>
      <c r="D51" s="6"/>
      <c r="E51" s="6"/>
      <c r="F51" s="6"/>
      <c r="G51" s="6"/>
      <c r="H51" s="12"/>
    </row>
    <row r="52" spans="2:8" ht="18" customHeight="1">
      <c r="B52" s="25"/>
      <c r="C52" s="43" t="s">
        <v>46</v>
      </c>
      <c r="D52" s="44"/>
      <c r="E52" s="44"/>
      <c r="F52" s="44"/>
      <c r="G52" s="44"/>
      <c r="H52" s="45"/>
    </row>
    <row r="53" spans="3:8" ht="12.75">
      <c r="C53" s="107" t="s">
        <v>32</v>
      </c>
      <c r="D53" s="103"/>
      <c r="E53" s="103"/>
      <c r="F53" s="103"/>
      <c r="G53" s="103"/>
      <c r="H53" s="108"/>
    </row>
    <row r="54" spans="3:8" ht="13.5" thickBot="1">
      <c r="C54" s="35"/>
      <c r="D54" s="36"/>
      <c r="E54" s="36"/>
      <c r="F54" s="36"/>
      <c r="G54" s="41" t="s">
        <v>68</v>
      </c>
      <c r="H54" s="42" t="s">
        <v>64</v>
      </c>
    </row>
    <row r="55" spans="3:8" ht="13.5" thickTop="1">
      <c r="C55" s="35"/>
      <c r="D55" s="36"/>
      <c r="E55" s="36"/>
      <c r="F55" s="36"/>
      <c r="G55" s="46">
        <v>3</v>
      </c>
      <c r="H55" s="47">
        <v>2.75</v>
      </c>
    </row>
    <row r="56" spans="3:8" ht="13.5" thickBot="1">
      <c r="C56" s="35"/>
      <c r="D56" s="36"/>
      <c r="E56" s="36"/>
      <c r="F56" s="36"/>
      <c r="G56" s="48"/>
      <c r="H56" s="49"/>
    </row>
    <row r="57" spans="3:8" ht="16.5" customHeight="1" thickTop="1">
      <c r="C57" s="10"/>
      <c r="D57" s="6"/>
      <c r="E57" s="6" t="s">
        <v>45</v>
      </c>
      <c r="F57" s="6"/>
      <c r="G57" s="24">
        <v>100</v>
      </c>
      <c r="H57" s="12" t="s">
        <v>53</v>
      </c>
    </row>
    <row r="58" spans="3:8" s="38" customFormat="1" ht="16.5" customHeight="1">
      <c r="C58" s="40"/>
      <c r="D58" s="41"/>
      <c r="E58" s="41" t="s">
        <v>93</v>
      </c>
      <c r="F58" s="41"/>
      <c r="G58" s="41">
        <f>+(G55*H55)*G57/100*$G$9</f>
        <v>25.575</v>
      </c>
      <c r="H58" s="42" t="s">
        <v>72</v>
      </c>
    </row>
    <row r="59" spans="3:8" s="38" customFormat="1" ht="16.5" customHeight="1">
      <c r="C59" s="40"/>
      <c r="D59" s="41"/>
      <c r="E59" s="41"/>
      <c r="F59" s="41"/>
      <c r="G59" s="41"/>
      <c r="H59" s="42"/>
    </row>
    <row r="60" spans="3:8" s="38" customFormat="1" ht="16.5" customHeight="1">
      <c r="C60" s="107" t="s">
        <v>131</v>
      </c>
      <c r="D60" s="103"/>
      <c r="E60" s="103"/>
      <c r="F60" s="103"/>
      <c r="G60" s="103"/>
      <c r="H60" s="108"/>
    </row>
    <row r="61" spans="3:8" s="38" customFormat="1" ht="16.5" customHeight="1" thickBot="1">
      <c r="C61" s="35"/>
      <c r="D61" s="36"/>
      <c r="E61" s="36"/>
      <c r="F61" s="36"/>
      <c r="G61" s="41" t="s">
        <v>68</v>
      </c>
      <c r="H61" s="42" t="s">
        <v>64</v>
      </c>
    </row>
    <row r="62" spans="3:8" s="38" customFormat="1" ht="16.5" customHeight="1" thickTop="1">
      <c r="C62" s="35"/>
      <c r="D62" s="36"/>
      <c r="E62" s="36"/>
      <c r="F62" s="36"/>
      <c r="G62" s="46">
        <v>0.5</v>
      </c>
      <c r="H62" s="47">
        <v>1.8</v>
      </c>
    </row>
    <row r="63" spans="3:8" s="38" customFormat="1" ht="16.5" customHeight="1" thickBot="1">
      <c r="C63" s="35"/>
      <c r="D63" s="36"/>
      <c r="E63" s="36"/>
      <c r="F63" s="36"/>
      <c r="G63" s="48"/>
      <c r="H63" s="49"/>
    </row>
    <row r="64" spans="3:8" ht="16.5" customHeight="1" thickTop="1">
      <c r="C64" s="10"/>
      <c r="D64" s="6"/>
      <c r="E64" s="6" t="s">
        <v>45</v>
      </c>
      <c r="F64" s="6"/>
      <c r="G64" s="24">
        <v>100</v>
      </c>
      <c r="H64" s="12" t="s">
        <v>53</v>
      </c>
    </row>
    <row r="65" spans="3:8" ht="16.5" customHeight="1">
      <c r="C65" s="40"/>
      <c r="D65" s="41"/>
      <c r="E65" s="41" t="s">
        <v>93</v>
      </c>
      <c r="F65" s="41"/>
      <c r="G65" s="41">
        <f>+(G62*H62)*G64/100*$G$9</f>
        <v>2.79</v>
      </c>
      <c r="H65" s="42" t="s">
        <v>72</v>
      </c>
    </row>
    <row r="66" spans="3:8" ht="16.5" customHeight="1">
      <c r="C66" s="10"/>
      <c r="D66" s="6"/>
      <c r="E66" s="6"/>
      <c r="F66" s="6"/>
      <c r="G66" s="6"/>
      <c r="H66" s="12"/>
    </row>
    <row r="67" spans="3:8" s="38" customFormat="1" ht="19.5" customHeight="1">
      <c r="C67" s="107" t="s">
        <v>39</v>
      </c>
      <c r="D67" s="103"/>
      <c r="E67" s="103"/>
      <c r="F67" s="103"/>
      <c r="G67" s="103"/>
      <c r="H67" s="108"/>
    </row>
    <row r="68" spans="3:8" ht="19.5" customHeight="1" thickBot="1">
      <c r="C68" s="10"/>
      <c r="D68" s="6"/>
      <c r="E68" s="6"/>
      <c r="F68" s="6"/>
      <c r="G68" s="6" t="s">
        <v>68</v>
      </c>
      <c r="H68" s="12" t="s">
        <v>64</v>
      </c>
    </row>
    <row r="69" spans="3:8" ht="16.5" customHeight="1" thickBot="1" thickTop="1">
      <c r="C69" s="10"/>
      <c r="D69" s="6"/>
      <c r="E69" s="6"/>
      <c r="F69" s="6" t="s">
        <v>33</v>
      </c>
      <c r="G69" s="46">
        <v>0.1</v>
      </c>
      <c r="H69" s="47">
        <v>5.2</v>
      </c>
    </row>
    <row r="70" spans="3:8" ht="16.5" customHeight="1" thickTop="1">
      <c r="C70" s="10"/>
      <c r="D70" s="6"/>
      <c r="E70" s="6"/>
      <c r="F70" s="6" t="s">
        <v>102</v>
      </c>
      <c r="G70" s="50">
        <v>0</v>
      </c>
      <c r="H70" s="47">
        <v>0</v>
      </c>
    </row>
    <row r="71" spans="3:8" ht="16.5" customHeight="1" thickBot="1">
      <c r="C71" s="10"/>
      <c r="D71" s="6"/>
      <c r="E71" s="6"/>
      <c r="F71" s="6"/>
      <c r="G71" s="33"/>
      <c r="H71" s="12"/>
    </row>
    <row r="72" spans="3:8" ht="16.5" customHeight="1" thickTop="1">
      <c r="C72" s="10"/>
      <c r="D72" s="6"/>
      <c r="E72" s="6" t="s">
        <v>45</v>
      </c>
      <c r="F72" s="6"/>
      <c r="G72" s="24">
        <v>100</v>
      </c>
      <c r="H72" s="12" t="s">
        <v>53</v>
      </c>
    </row>
    <row r="73" spans="3:8" ht="16.5" customHeight="1">
      <c r="C73" s="40"/>
      <c r="D73" s="41"/>
      <c r="E73" s="41" t="s">
        <v>93</v>
      </c>
      <c r="F73" s="41"/>
      <c r="G73" s="41">
        <f>+(G69*H69+G70*H70)*G72/100*$G$9</f>
        <v>1.612</v>
      </c>
      <c r="H73" s="42" t="s">
        <v>72</v>
      </c>
    </row>
    <row r="74" spans="3:8" s="38" customFormat="1" ht="16.5" customHeight="1">
      <c r="C74" s="10"/>
      <c r="D74" s="6"/>
      <c r="E74" s="6"/>
      <c r="F74" s="6"/>
      <c r="G74" s="6"/>
      <c r="H74" s="12"/>
    </row>
    <row r="75" spans="2:8" ht="16.5" customHeight="1">
      <c r="B75" s="25"/>
      <c r="C75" s="104" t="s">
        <v>34</v>
      </c>
      <c r="D75" s="105"/>
      <c r="E75" s="105"/>
      <c r="F75" s="105"/>
      <c r="G75" s="105"/>
      <c r="H75" s="106"/>
    </row>
    <row r="76" spans="3:8" ht="16.5" customHeight="1">
      <c r="C76" s="35"/>
      <c r="D76" s="36"/>
      <c r="E76" s="36"/>
      <c r="F76" s="36"/>
      <c r="G76" s="36"/>
      <c r="H76" s="37"/>
    </row>
    <row r="77" spans="3:8" ht="16.5" customHeight="1" thickBot="1">
      <c r="C77" s="35"/>
      <c r="D77" s="36"/>
      <c r="E77" s="6" t="s">
        <v>92</v>
      </c>
      <c r="F77" s="36"/>
      <c r="G77" s="51">
        <v>1.5</v>
      </c>
      <c r="H77" s="12" t="s">
        <v>106</v>
      </c>
    </row>
    <row r="78" spans="3:8" ht="16.5" customHeight="1" thickTop="1">
      <c r="C78" s="10"/>
      <c r="D78" s="6"/>
      <c r="E78" s="6" t="s">
        <v>47</v>
      </c>
      <c r="F78" s="6"/>
      <c r="G78" s="24">
        <v>130</v>
      </c>
      <c r="H78" s="12" t="s">
        <v>65</v>
      </c>
    </row>
    <row r="79" spans="3:8" s="38" customFormat="1" ht="16.5" customHeight="1">
      <c r="C79" s="10"/>
      <c r="D79" s="6"/>
      <c r="E79" s="6" t="s">
        <v>94</v>
      </c>
      <c r="F79" s="6"/>
      <c r="G79" s="6">
        <f>G77*G16/1000</f>
        <v>0.69</v>
      </c>
      <c r="H79" s="12" t="s">
        <v>66</v>
      </c>
    </row>
    <row r="80" spans="3:8" ht="16.5" customHeight="1" thickBot="1">
      <c r="C80" s="40"/>
      <c r="D80" s="41"/>
      <c r="E80" s="41" t="s">
        <v>93</v>
      </c>
      <c r="F80" s="41"/>
      <c r="G80" s="41">
        <f>+G78*G79</f>
        <v>89.69999999999999</v>
      </c>
      <c r="H80" s="42" t="s">
        <v>72</v>
      </c>
    </row>
    <row r="81" spans="3:8" ht="16.5" customHeight="1">
      <c r="C81" s="97" t="s">
        <v>0</v>
      </c>
      <c r="D81" s="98"/>
      <c r="E81" s="98"/>
      <c r="F81" s="98"/>
      <c r="G81" s="98"/>
      <c r="H81" s="99"/>
    </row>
    <row r="82" spans="2:8" ht="16.5" customHeight="1" thickBot="1">
      <c r="B82" s="25"/>
      <c r="C82" s="104" t="s">
        <v>35</v>
      </c>
      <c r="D82" s="105"/>
      <c r="E82" s="105"/>
      <c r="F82" s="105"/>
      <c r="G82" s="105"/>
      <c r="H82" s="106"/>
    </row>
    <row r="83" spans="3:8" ht="16.5" customHeight="1" thickBot="1" thickTop="1">
      <c r="C83" s="10"/>
      <c r="D83" s="6"/>
      <c r="E83" s="6" t="s">
        <v>48</v>
      </c>
      <c r="F83" s="6"/>
      <c r="G83" s="24">
        <v>33</v>
      </c>
      <c r="H83" s="12" t="s">
        <v>53</v>
      </c>
    </row>
    <row r="84" spans="3:8" ht="16.5" customHeight="1" thickTop="1">
      <c r="C84" s="10"/>
      <c r="D84" s="6"/>
      <c r="E84" s="6" t="s">
        <v>67</v>
      </c>
      <c r="F84" s="6"/>
      <c r="G84" s="11">
        <v>2</v>
      </c>
      <c r="H84" s="12" t="s">
        <v>40</v>
      </c>
    </row>
    <row r="85" spans="3:8" ht="16.5" customHeight="1">
      <c r="C85" s="40"/>
      <c r="D85" s="41"/>
      <c r="E85" s="41" t="s">
        <v>83</v>
      </c>
      <c r="F85" s="41"/>
      <c r="G85" s="52">
        <f>+$G$8*G84*G83/100</f>
        <v>44.88</v>
      </c>
      <c r="H85" s="42" t="s">
        <v>72</v>
      </c>
    </row>
    <row r="86" spans="3:8" s="38" customFormat="1" ht="16.5" customHeight="1">
      <c r="C86" s="10"/>
      <c r="D86" s="6"/>
      <c r="E86" s="6"/>
      <c r="F86" s="6"/>
      <c r="G86" s="6"/>
      <c r="H86" s="12"/>
    </row>
    <row r="87" spans="2:8" ht="16.5" customHeight="1" thickBot="1">
      <c r="B87" s="25"/>
      <c r="C87" s="104" t="s">
        <v>96</v>
      </c>
      <c r="D87" s="105"/>
      <c r="E87" s="105"/>
      <c r="F87" s="105"/>
      <c r="G87" s="105"/>
      <c r="H87" s="106"/>
    </row>
    <row r="88" spans="3:8" ht="16.5" customHeight="1" thickTop="1">
      <c r="C88" s="10"/>
      <c r="D88" s="6" t="s">
        <v>97</v>
      </c>
      <c r="E88" s="6" t="s">
        <v>113</v>
      </c>
      <c r="F88" s="6"/>
      <c r="G88" s="24">
        <v>19</v>
      </c>
      <c r="H88" s="12" t="s">
        <v>95</v>
      </c>
    </row>
    <row r="89" spans="3:8" ht="12.75">
      <c r="C89" s="10"/>
      <c r="D89" s="41"/>
      <c r="E89" s="41" t="s">
        <v>83</v>
      </c>
      <c r="F89" s="6"/>
      <c r="G89" s="6">
        <f>+G88*$H$11*10</f>
        <v>235.37199999999999</v>
      </c>
      <c r="H89" s="12" t="s">
        <v>72</v>
      </c>
    </row>
    <row r="90" spans="3:8" s="38" customFormat="1" ht="16.5" customHeight="1" thickBot="1">
      <c r="C90" s="10"/>
      <c r="D90" s="41"/>
      <c r="E90" s="41"/>
      <c r="F90" s="6"/>
      <c r="G90" s="6"/>
      <c r="H90" s="12"/>
    </row>
    <row r="91" spans="3:8" ht="16.5" customHeight="1" thickTop="1">
      <c r="C91" s="10"/>
      <c r="D91" s="6" t="s">
        <v>98</v>
      </c>
      <c r="E91" s="6" t="s">
        <v>51</v>
      </c>
      <c r="F91" s="6"/>
      <c r="G91" s="24">
        <v>190</v>
      </c>
      <c r="H91" s="12" t="s">
        <v>68</v>
      </c>
    </row>
    <row r="92" spans="3:8" ht="16.5" customHeight="1">
      <c r="C92" s="40"/>
      <c r="D92" s="41"/>
      <c r="E92" s="41" t="s">
        <v>83</v>
      </c>
      <c r="F92" s="41"/>
      <c r="G92" s="41">
        <f>+G91*$H$11</f>
        <v>235.37199999999999</v>
      </c>
      <c r="H92" s="42" t="s">
        <v>72</v>
      </c>
    </row>
    <row r="93" spans="3:8" ht="16.5" customHeight="1">
      <c r="C93" s="10"/>
      <c r="D93" s="6"/>
      <c r="E93" s="6"/>
      <c r="F93" s="6"/>
      <c r="G93" s="6"/>
      <c r="H93" s="12"/>
    </row>
    <row r="94" spans="2:8" ht="16.5" customHeight="1" thickBot="1">
      <c r="B94" s="25"/>
      <c r="C94" s="10" t="s">
        <v>132</v>
      </c>
      <c r="D94" s="10"/>
      <c r="E94" s="6"/>
      <c r="F94" s="6"/>
      <c r="G94" s="6"/>
      <c r="H94" s="12"/>
    </row>
    <row r="95" spans="3:8" ht="24" customHeight="1" thickTop="1">
      <c r="C95" s="10"/>
      <c r="D95" s="6"/>
      <c r="E95" s="53" t="s">
        <v>69</v>
      </c>
      <c r="F95" s="6"/>
      <c r="G95" s="54">
        <v>14</v>
      </c>
      <c r="H95" s="55" t="s">
        <v>107</v>
      </c>
    </row>
    <row r="96" spans="3:8" ht="16.5" customHeight="1">
      <c r="C96" s="40"/>
      <c r="D96" s="41"/>
      <c r="E96" s="41" t="s">
        <v>83</v>
      </c>
      <c r="F96" s="41"/>
      <c r="G96" s="41">
        <f>+G95/100*G92+G95/100*G88</f>
        <v>35.612080000000006</v>
      </c>
      <c r="H96" s="42" t="s">
        <v>72</v>
      </c>
    </row>
    <row r="97" spans="3:8" s="38" customFormat="1" ht="16.5" customHeight="1">
      <c r="C97" s="10"/>
      <c r="D97" s="6"/>
      <c r="E97" s="6"/>
      <c r="F97" s="6"/>
      <c r="G97" s="6"/>
      <c r="H97" s="12"/>
    </row>
    <row r="98" spans="2:8" ht="16.5" customHeight="1" thickBot="1">
      <c r="B98" s="25"/>
      <c r="C98" s="104" t="s">
        <v>91</v>
      </c>
      <c r="D98" s="105"/>
      <c r="E98" s="105"/>
      <c r="F98" s="105"/>
      <c r="G98" s="105"/>
      <c r="H98" s="106"/>
    </row>
    <row r="99" spans="3:8" ht="16.5" customHeight="1" thickBot="1" thickTop="1">
      <c r="C99" s="10"/>
      <c r="D99" s="6" t="s">
        <v>97</v>
      </c>
      <c r="E99" s="6" t="s">
        <v>133</v>
      </c>
      <c r="F99" s="6"/>
      <c r="G99" s="11">
        <v>1450</v>
      </c>
      <c r="H99" s="12" t="s">
        <v>90</v>
      </c>
    </row>
    <row r="100" spans="3:8" ht="16.5" customHeight="1" thickBot="1" thickTop="1">
      <c r="C100" s="10"/>
      <c r="D100" s="6" t="s">
        <v>98</v>
      </c>
      <c r="E100" s="6" t="s">
        <v>49</v>
      </c>
      <c r="F100" s="6"/>
      <c r="G100" s="11">
        <v>0</v>
      </c>
      <c r="H100" s="12" t="s">
        <v>57</v>
      </c>
    </row>
    <row r="101" spans="3:8" ht="16.5" customHeight="1" thickBot="1" thickTop="1">
      <c r="C101" s="10"/>
      <c r="D101" s="6"/>
      <c r="E101" s="6" t="s">
        <v>119</v>
      </c>
      <c r="F101" s="6"/>
      <c r="G101" s="24">
        <v>200</v>
      </c>
      <c r="H101" s="12" t="s">
        <v>26</v>
      </c>
    </row>
    <row r="102" spans="3:8" ht="16.5" customHeight="1" thickTop="1">
      <c r="C102" s="10"/>
      <c r="D102" s="6"/>
      <c r="E102" s="6" t="s">
        <v>120</v>
      </c>
      <c r="F102" s="6"/>
      <c r="G102" s="24">
        <v>4</v>
      </c>
      <c r="H102" s="12" t="s">
        <v>121</v>
      </c>
    </row>
    <row r="103" spans="3:8" ht="16.5" customHeight="1">
      <c r="C103" s="40"/>
      <c r="D103" s="41"/>
      <c r="E103" s="41" t="s">
        <v>83</v>
      </c>
      <c r="F103" s="41"/>
      <c r="G103" s="41">
        <f>(G99+G100*26)*G102/G101</f>
        <v>29</v>
      </c>
      <c r="H103" s="42" t="s">
        <v>72</v>
      </c>
    </row>
    <row r="104" spans="3:8" s="38" customFormat="1" ht="16.5" customHeight="1">
      <c r="C104" s="10"/>
      <c r="D104" s="6"/>
      <c r="E104" s="6"/>
      <c r="F104" s="6"/>
      <c r="G104" s="6"/>
      <c r="H104" s="12"/>
    </row>
    <row r="105" spans="2:8" ht="16.5" customHeight="1" thickBot="1">
      <c r="B105" s="25"/>
      <c r="C105" s="104" t="s">
        <v>36</v>
      </c>
      <c r="D105" s="105"/>
      <c r="E105" s="105"/>
      <c r="F105" s="105"/>
      <c r="G105" s="105"/>
      <c r="H105" s="106"/>
    </row>
    <row r="106" spans="3:8" ht="16.5" customHeight="1" thickBot="1" thickTop="1">
      <c r="C106" s="10"/>
      <c r="D106" s="6" t="s">
        <v>97</v>
      </c>
      <c r="E106" s="6" t="s">
        <v>118</v>
      </c>
      <c r="F106" s="6"/>
      <c r="G106" s="11"/>
      <c r="H106" s="12" t="s">
        <v>90</v>
      </c>
    </row>
    <row r="107" spans="3:8" ht="16.5" customHeight="1" thickBot="1" thickTop="1">
      <c r="C107" s="10"/>
      <c r="D107" s="6" t="s">
        <v>98</v>
      </c>
      <c r="E107" s="6" t="s">
        <v>49</v>
      </c>
      <c r="F107" s="6"/>
      <c r="G107" s="11"/>
      <c r="H107" s="12" t="s">
        <v>57</v>
      </c>
    </row>
    <row r="108" spans="3:8" ht="16.5" customHeight="1" thickBot="1" thickTop="1">
      <c r="C108" s="10"/>
      <c r="D108" s="6"/>
      <c r="E108" s="6" t="s">
        <v>119</v>
      </c>
      <c r="F108" s="6"/>
      <c r="G108" s="24">
        <v>800</v>
      </c>
      <c r="H108" s="12" t="s">
        <v>26</v>
      </c>
    </row>
    <row r="109" spans="3:8" ht="16.5" customHeight="1" thickTop="1">
      <c r="C109" s="10"/>
      <c r="D109" s="6"/>
      <c r="E109" s="6" t="s">
        <v>120</v>
      </c>
      <c r="F109" s="6"/>
      <c r="G109" s="24">
        <v>4</v>
      </c>
      <c r="H109" s="12" t="s">
        <v>121</v>
      </c>
    </row>
    <row r="110" spans="3:8" ht="16.5" customHeight="1" thickBot="1">
      <c r="C110" s="40"/>
      <c r="D110" s="41"/>
      <c r="E110" s="41" t="s">
        <v>83</v>
      </c>
      <c r="F110" s="41"/>
      <c r="G110" s="41">
        <f>(G106+G107*26)*G109/G108</f>
        <v>0</v>
      </c>
      <c r="H110" s="42" t="s">
        <v>72</v>
      </c>
    </row>
    <row r="111" spans="3:8" ht="16.5" customHeight="1">
      <c r="C111" s="97" t="s">
        <v>2</v>
      </c>
      <c r="D111" s="98" t="s">
        <v>70</v>
      </c>
      <c r="E111" s="98"/>
      <c r="F111" s="98"/>
      <c r="G111" s="98"/>
      <c r="H111" s="99"/>
    </row>
    <row r="112" spans="3:8" ht="16.5" customHeight="1">
      <c r="C112" s="104" t="s">
        <v>137</v>
      </c>
      <c r="D112" s="105"/>
      <c r="E112" s="105"/>
      <c r="F112" s="105"/>
      <c r="G112" s="105"/>
      <c r="H112" s="106"/>
    </row>
    <row r="113" spans="3:8" ht="18" customHeight="1" thickBot="1">
      <c r="C113" s="35"/>
      <c r="D113" s="36"/>
      <c r="E113" s="41"/>
      <c r="F113" s="41" t="s">
        <v>103</v>
      </c>
      <c r="G113" s="41" t="s">
        <v>65</v>
      </c>
      <c r="H113" s="42" t="s">
        <v>82</v>
      </c>
    </row>
    <row r="114" spans="3:8" ht="18" customHeight="1" thickBot="1" thickTop="1">
      <c r="C114" s="35"/>
      <c r="D114" s="36"/>
      <c r="E114" s="6"/>
      <c r="F114" s="6" t="s">
        <v>88</v>
      </c>
      <c r="G114" s="50"/>
      <c r="H114" s="47">
        <v>0.42</v>
      </c>
    </row>
    <row r="115" spans="3:8" ht="18" customHeight="1" thickBot="1" thickTop="1">
      <c r="C115" s="35"/>
      <c r="D115" s="36"/>
      <c r="E115" s="6"/>
      <c r="F115" s="6" t="s">
        <v>81</v>
      </c>
      <c r="G115" s="50">
        <v>150</v>
      </c>
      <c r="H115" s="47">
        <v>0.37</v>
      </c>
    </row>
    <row r="116" spans="3:8" ht="18" customHeight="1" thickTop="1">
      <c r="C116" s="35"/>
      <c r="D116" s="36"/>
      <c r="E116" s="6"/>
      <c r="F116" s="6" t="s">
        <v>102</v>
      </c>
      <c r="G116" s="50">
        <v>0</v>
      </c>
      <c r="H116" s="47">
        <v>0</v>
      </c>
    </row>
    <row r="117" spans="3:8" ht="13.5" thickBot="1">
      <c r="C117" s="10"/>
      <c r="D117" s="6"/>
      <c r="E117" s="6"/>
      <c r="F117" s="6"/>
      <c r="G117" s="6"/>
      <c r="H117" s="12"/>
    </row>
    <row r="118" spans="3:8" ht="13.5" thickTop="1">
      <c r="C118" s="10"/>
      <c r="D118" s="6"/>
      <c r="E118" s="6" t="s">
        <v>45</v>
      </c>
      <c r="F118" s="6"/>
      <c r="G118" s="24">
        <v>100</v>
      </c>
      <c r="H118" s="12" t="s">
        <v>53</v>
      </c>
    </row>
    <row r="119" spans="3:8" ht="12.75">
      <c r="C119" s="10"/>
      <c r="D119" s="6"/>
      <c r="E119" s="41" t="s">
        <v>83</v>
      </c>
      <c r="F119" s="41"/>
      <c r="G119" s="41">
        <f>+(G114*H114+G115*H115+G116*H116)*G118/100*G9</f>
        <v>172.05</v>
      </c>
      <c r="H119" s="42" t="s">
        <v>72</v>
      </c>
    </row>
    <row r="120" spans="3:8" ht="16.5" customHeight="1">
      <c r="C120" s="35"/>
      <c r="D120" s="36"/>
      <c r="E120" s="36"/>
      <c r="F120" s="36"/>
      <c r="G120" s="36"/>
      <c r="H120" s="37"/>
    </row>
    <row r="121" spans="3:8" ht="16.5" customHeight="1">
      <c r="C121" s="104" t="s">
        <v>70</v>
      </c>
      <c r="D121" s="105"/>
      <c r="E121" s="105"/>
      <c r="F121" s="105"/>
      <c r="G121" s="105"/>
      <c r="H121" s="106"/>
    </row>
    <row r="122" spans="3:8" s="38" customFormat="1" ht="16.5" customHeight="1">
      <c r="C122" s="104" t="s">
        <v>71</v>
      </c>
      <c r="D122" s="105"/>
      <c r="E122" s="105"/>
      <c r="F122" s="105"/>
      <c r="G122" s="105"/>
      <c r="H122" s="106"/>
    </row>
    <row r="123" spans="3:8" ht="16.5" customHeight="1" thickBot="1">
      <c r="C123" s="35"/>
      <c r="D123" s="36"/>
      <c r="E123" s="41" t="s">
        <v>103</v>
      </c>
      <c r="F123" s="56"/>
      <c r="G123" s="41" t="s">
        <v>65</v>
      </c>
      <c r="H123" s="42" t="s">
        <v>82</v>
      </c>
    </row>
    <row r="124" spans="3:8" ht="16.5" customHeight="1" thickBot="1" thickTop="1">
      <c r="C124" s="35"/>
      <c r="D124" s="36"/>
      <c r="E124" s="6" t="s">
        <v>37</v>
      </c>
      <c r="F124" s="36"/>
      <c r="G124" s="50">
        <v>50</v>
      </c>
      <c r="H124" s="47">
        <v>0.4</v>
      </c>
    </row>
    <row r="125" spans="3:8" s="38" customFormat="1" ht="13.5" thickTop="1">
      <c r="C125" s="35"/>
      <c r="D125" s="36"/>
      <c r="E125" s="6" t="s">
        <v>102</v>
      </c>
      <c r="F125" s="36"/>
      <c r="G125" s="50">
        <v>0</v>
      </c>
      <c r="H125" s="47"/>
    </row>
    <row r="126" spans="3:8" ht="13.5" thickBot="1">
      <c r="C126" s="35"/>
      <c r="D126" s="36"/>
      <c r="E126" s="36"/>
      <c r="F126" s="36"/>
      <c r="G126" s="48"/>
      <c r="H126" s="37"/>
    </row>
    <row r="127" spans="3:8" ht="13.5" thickTop="1">
      <c r="C127" s="10"/>
      <c r="D127" s="6"/>
      <c r="E127" s="6" t="s">
        <v>45</v>
      </c>
      <c r="F127" s="6"/>
      <c r="G127" s="24">
        <v>200</v>
      </c>
      <c r="H127" s="12" t="s">
        <v>53</v>
      </c>
    </row>
    <row r="128" spans="3:8" ht="12.75">
      <c r="C128" s="40"/>
      <c r="D128" s="41"/>
      <c r="E128" s="41" t="s">
        <v>83</v>
      </c>
      <c r="F128" s="41"/>
      <c r="G128" s="41">
        <f>+(G124*H124+G125*H125)*G127/100*$G$9</f>
        <v>124</v>
      </c>
      <c r="H128" s="42" t="s">
        <v>72</v>
      </c>
    </row>
    <row r="129" spans="3:8" ht="12.75">
      <c r="C129" s="10"/>
      <c r="D129" s="6"/>
      <c r="E129" s="6"/>
      <c r="F129" s="6"/>
      <c r="G129" s="6"/>
      <c r="H129" s="12"/>
    </row>
    <row r="130" spans="3:8" ht="13.5" thickBot="1">
      <c r="C130" s="104" t="s">
        <v>38</v>
      </c>
      <c r="D130" s="105"/>
      <c r="E130" s="105"/>
      <c r="F130" s="105"/>
      <c r="G130" s="105"/>
      <c r="H130" s="106"/>
    </row>
    <row r="131" spans="3:8" ht="14.25" thickBot="1" thickTop="1">
      <c r="C131" s="40"/>
      <c r="D131" s="41"/>
      <c r="E131" s="41" t="s">
        <v>83</v>
      </c>
      <c r="F131" s="41"/>
      <c r="G131" s="11">
        <v>112</v>
      </c>
      <c r="H131" s="42" t="s">
        <v>72</v>
      </c>
    </row>
    <row r="132" spans="3:8" ht="15">
      <c r="C132" s="97" t="s">
        <v>3</v>
      </c>
      <c r="D132" s="98" t="s">
        <v>3</v>
      </c>
      <c r="E132" s="98"/>
      <c r="F132" s="98"/>
      <c r="G132" s="98"/>
      <c r="H132" s="99"/>
    </row>
    <row r="133" spans="3:8" ht="12.75">
      <c r="C133" s="107" t="s">
        <v>73</v>
      </c>
      <c r="D133" s="103"/>
      <c r="E133" s="103"/>
      <c r="F133" s="103"/>
      <c r="G133" s="103"/>
      <c r="H133" s="108"/>
    </row>
    <row r="134" spans="3:8" ht="12.75">
      <c r="C134" s="104" t="s">
        <v>50</v>
      </c>
      <c r="D134" s="105"/>
      <c r="E134" s="105"/>
      <c r="F134" s="105"/>
      <c r="G134" s="105"/>
      <c r="H134" s="106"/>
    </row>
    <row r="135" spans="3:8" ht="13.5" thickBot="1">
      <c r="C135" s="10"/>
      <c r="D135" s="6"/>
      <c r="E135" s="41"/>
      <c r="F135" s="41" t="s">
        <v>103</v>
      </c>
      <c r="G135" s="41" t="s">
        <v>63</v>
      </c>
      <c r="H135" s="42" t="s">
        <v>64</v>
      </c>
    </row>
    <row r="136" spans="3:8" ht="14.25" thickBot="1" thickTop="1">
      <c r="C136" s="10"/>
      <c r="D136" s="6"/>
      <c r="E136" s="6"/>
      <c r="F136" s="6" t="s">
        <v>114</v>
      </c>
      <c r="G136" s="46">
        <v>0.6</v>
      </c>
      <c r="H136" s="47">
        <v>22</v>
      </c>
    </row>
    <row r="137" spans="3:8" ht="14.25" thickBot="1" thickTop="1">
      <c r="C137" s="10"/>
      <c r="D137" s="6"/>
      <c r="E137" s="6"/>
      <c r="F137" s="6" t="s">
        <v>115</v>
      </c>
      <c r="G137" s="46">
        <v>0.1</v>
      </c>
      <c r="H137" s="47">
        <v>260</v>
      </c>
    </row>
    <row r="138" spans="3:8" ht="14.25" thickBot="1" thickTop="1">
      <c r="C138" s="10"/>
      <c r="D138" s="6"/>
      <c r="E138" s="6"/>
      <c r="F138" s="6" t="s">
        <v>99</v>
      </c>
      <c r="G138" s="46">
        <v>0</v>
      </c>
      <c r="H138" s="47">
        <v>26.5</v>
      </c>
    </row>
    <row r="139" spans="3:8" ht="14.25" thickBot="1" thickTop="1">
      <c r="C139" s="10"/>
      <c r="D139" s="6"/>
      <c r="E139" s="6"/>
      <c r="F139" s="6" t="s">
        <v>116</v>
      </c>
      <c r="G139" s="46">
        <v>0</v>
      </c>
      <c r="H139" s="47">
        <v>0</v>
      </c>
    </row>
    <row r="140" spans="3:8" s="38" customFormat="1" ht="14.25" thickBot="1" thickTop="1">
      <c r="C140" s="10"/>
      <c r="D140" s="6"/>
      <c r="E140" s="6"/>
      <c r="F140" s="6" t="s">
        <v>127</v>
      </c>
      <c r="G140" s="47">
        <v>0</v>
      </c>
      <c r="H140" s="47">
        <v>0</v>
      </c>
    </row>
    <row r="141" spans="3:8" ht="14.25" thickBot="1" thickTop="1">
      <c r="C141" s="10"/>
      <c r="D141" s="6"/>
      <c r="E141" s="6"/>
      <c r="F141" s="6" t="s">
        <v>100</v>
      </c>
      <c r="G141" s="46">
        <v>0</v>
      </c>
      <c r="H141" s="47">
        <v>80</v>
      </c>
    </row>
    <row r="142" spans="3:8" s="38" customFormat="1" ht="14.25" thickBot="1" thickTop="1">
      <c r="C142" s="10"/>
      <c r="D142" s="6"/>
      <c r="E142" s="6"/>
      <c r="F142" s="6" t="s">
        <v>101</v>
      </c>
      <c r="G142" s="46">
        <v>0</v>
      </c>
      <c r="H142" s="47">
        <v>2.6</v>
      </c>
    </row>
    <row r="143" spans="3:8" s="38" customFormat="1" ht="14.25" thickBot="1" thickTop="1">
      <c r="C143" s="10"/>
      <c r="D143" s="6"/>
      <c r="E143" s="6"/>
      <c r="F143" s="6" t="s">
        <v>131</v>
      </c>
      <c r="G143" s="46">
        <v>0.5</v>
      </c>
      <c r="H143" s="47">
        <v>1.8</v>
      </c>
    </row>
    <row r="144" spans="3:8" ht="13.5" thickTop="1">
      <c r="C144" s="10"/>
      <c r="D144" s="6"/>
      <c r="E144" s="6"/>
      <c r="F144" s="6" t="s">
        <v>102</v>
      </c>
      <c r="G144" s="46">
        <v>0.07</v>
      </c>
      <c r="H144" s="47">
        <v>95</v>
      </c>
    </row>
    <row r="145" spans="3:8" ht="13.5" thickBot="1">
      <c r="C145" s="10"/>
      <c r="D145" s="6"/>
      <c r="E145" s="6"/>
      <c r="F145" s="6"/>
      <c r="G145" s="6"/>
      <c r="H145" s="12"/>
    </row>
    <row r="146" spans="3:8" ht="13.5" thickTop="1">
      <c r="C146" s="10"/>
      <c r="D146" s="6"/>
      <c r="E146" s="6" t="s">
        <v>45</v>
      </c>
      <c r="F146" s="6"/>
      <c r="G146" s="24">
        <v>100</v>
      </c>
      <c r="H146" s="12" t="s">
        <v>53</v>
      </c>
    </row>
    <row r="147" spans="3:8" ht="12.75">
      <c r="C147" s="40"/>
      <c r="D147" s="41"/>
      <c r="E147" s="41" t="s">
        <v>83</v>
      </c>
      <c r="F147" s="41"/>
      <c r="G147" s="41">
        <f>+(G136*H136+G137*H137+G138*H138+G144*H144+G139*H139+G141*H141+G142*H142+G140*H140+G143*H143)*G146/100*$G$9</f>
        <v>144.925</v>
      </c>
      <c r="H147" s="42" t="s">
        <v>72</v>
      </c>
    </row>
    <row r="148" spans="3:8" ht="13.5" thickBot="1">
      <c r="C148" s="104" t="s">
        <v>38</v>
      </c>
      <c r="D148" s="105"/>
      <c r="E148" s="105"/>
      <c r="F148" s="105"/>
      <c r="G148" s="105"/>
      <c r="H148" s="106"/>
    </row>
    <row r="149" spans="3:8" ht="13.5" thickTop="1">
      <c r="C149" s="40"/>
      <c r="D149" s="41"/>
      <c r="E149" s="41" t="s">
        <v>83</v>
      </c>
      <c r="F149" s="41"/>
      <c r="G149" s="11">
        <v>27</v>
      </c>
      <c r="H149" s="42" t="s">
        <v>72</v>
      </c>
    </row>
    <row r="150" spans="3:8" ht="12.75">
      <c r="C150" s="10"/>
      <c r="D150" s="6"/>
      <c r="E150" s="6"/>
      <c r="F150" s="6"/>
      <c r="G150" s="6"/>
      <c r="H150" s="12"/>
    </row>
    <row r="151" spans="3:8" ht="12.75">
      <c r="C151" s="10"/>
      <c r="D151" s="6"/>
      <c r="E151" s="6"/>
      <c r="F151" s="6"/>
      <c r="G151" s="6"/>
      <c r="H151" s="12"/>
    </row>
    <row r="152" spans="3:8" ht="12.75">
      <c r="C152" s="107" t="s">
        <v>74</v>
      </c>
      <c r="D152" s="103"/>
      <c r="E152" s="103"/>
      <c r="F152" s="103"/>
      <c r="G152" s="103"/>
      <c r="H152" s="108"/>
    </row>
    <row r="153" spans="3:8" ht="12.75">
      <c r="C153" s="10" t="s">
        <v>50</v>
      </c>
      <c r="D153" s="6"/>
      <c r="E153" s="6"/>
      <c r="F153" s="6"/>
      <c r="G153" s="6"/>
      <c r="H153" s="12"/>
    </row>
    <row r="154" spans="3:8" ht="13.5" thickBot="1">
      <c r="C154" s="10"/>
      <c r="D154" s="6"/>
      <c r="E154" s="41" t="s">
        <v>103</v>
      </c>
      <c r="F154" s="41"/>
      <c r="G154" s="41" t="s">
        <v>63</v>
      </c>
      <c r="H154" s="42" t="s">
        <v>64</v>
      </c>
    </row>
    <row r="155" spans="3:8" ht="14.25" thickBot="1" thickTop="1">
      <c r="C155" s="10"/>
      <c r="D155" s="6"/>
      <c r="E155" s="6" t="s">
        <v>33</v>
      </c>
      <c r="F155" s="6"/>
      <c r="G155" s="46">
        <v>0.1</v>
      </c>
      <c r="H155" s="47">
        <v>15</v>
      </c>
    </row>
    <row r="156" spans="3:8" ht="14.25" thickBot="1" thickTop="1">
      <c r="C156" s="10"/>
      <c r="D156" s="6"/>
      <c r="E156" s="6" t="s">
        <v>128</v>
      </c>
      <c r="F156" s="6"/>
      <c r="G156" s="46">
        <v>1</v>
      </c>
      <c r="H156" s="47">
        <v>3.6</v>
      </c>
    </row>
    <row r="157" spans="3:8" ht="14.25" thickBot="1" thickTop="1">
      <c r="C157" s="10"/>
      <c r="D157" s="6"/>
      <c r="E157" s="6" t="s">
        <v>130</v>
      </c>
      <c r="F157" s="6"/>
      <c r="G157" s="46">
        <v>0</v>
      </c>
      <c r="H157" s="47">
        <v>64.8</v>
      </c>
    </row>
    <row r="158" spans="3:8" ht="14.25" thickBot="1" thickTop="1">
      <c r="C158" s="10"/>
      <c r="D158" s="6"/>
      <c r="E158" s="6" t="s">
        <v>129</v>
      </c>
      <c r="F158" s="6"/>
      <c r="G158" s="46">
        <v>0</v>
      </c>
      <c r="H158" s="47">
        <v>68</v>
      </c>
    </row>
    <row r="159" spans="3:8" ht="13.5" thickTop="1">
      <c r="C159" s="10"/>
      <c r="D159" s="6"/>
      <c r="E159" s="6" t="s">
        <v>102</v>
      </c>
      <c r="F159" s="6"/>
      <c r="G159" s="46">
        <v>0</v>
      </c>
      <c r="H159" s="47">
        <v>0</v>
      </c>
    </row>
    <row r="160" spans="3:8" ht="13.5" thickBot="1">
      <c r="C160" s="10"/>
      <c r="D160" s="6"/>
      <c r="E160" s="6"/>
      <c r="F160" s="6"/>
      <c r="G160" s="6"/>
      <c r="H160" s="12"/>
    </row>
    <row r="161" spans="3:8" ht="13.5" thickTop="1">
      <c r="C161" s="10"/>
      <c r="D161" s="6"/>
      <c r="E161" s="6" t="s">
        <v>45</v>
      </c>
      <c r="F161" s="6"/>
      <c r="G161" s="24">
        <v>100</v>
      </c>
      <c r="H161" s="12" t="s">
        <v>53</v>
      </c>
    </row>
    <row r="162" spans="3:12" ht="12.75">
      <c r="C162" s="10"/>
      <c r="D162" s="6"/>
      <c r="E162" s="41" t="s">
        <v>83</v>
      </c>
      <c r="F162" s="41"/>
      <c r="G162" s="41">
        <f>+(G155*H155+G156*H156+G157*H157+G158*H158+G159*H159)*G161/100*$G$9</f>
        <v>15.809999999999999</v>
      </c>
      <c r="H162" s="42" t="s">
        <v>72</v>
      </c>
      <c r="L162" s="38"/>
    </row>
    <row r="163" spans="3:12" s="38" customFormat="1" ht="13.5" thickBot="1">
      <c r="C163" s="104" t="s">
        <v>38</v>
      </c>
      <c r="D163" s="105"/>
      <c r="E163" s="105"/>
      <c r="F163" s="105"/>
      <c r="G163" s="105"/>
      <c r="H163" s="106"/>
      <c r="L163" s="1"/>
    </row>
    <row r="164" spans="3:8" ht="13.5" thickTop="1">
      <c r="C164" s="10"/>
      <c r="D164" s="6"/>
      <c r="E164" s="41" t="s">
        <v>83</v>
      </c>
      <c r="F164" s="41"/>
      <c r="G164" s="11">
        <v>18</v>
      </c>
      <c r="H164" s="42" t="s">
        <v>72</v>
      </c>
    </row>
    <row r="165" spans="3:8" ht="13.5" thickBot="1">
      <c r="C165" s="10"/>
      <c r="D165" s="6"/>
      <c r="E165" s="6"/>
      <c r="F165" s="6"/>
      <c r="G165" s="6"/>
      <c r="H165" s="12"/>
    </row>
    <row r="166" spans="2:12" ht="15.75" thickBot="1">
      <c r="B166" s="25"/>
      <c r="C166" s="97" t="s">
        <v>9</v>
      </c>
      <c r="D166" s="98"/>
      <c r="E166" s="98"/>
      <c r="F166" s="98"/>
      <c r="G166" s="98"/>
      <c r="H166" s="99"/>
      <c r="L166" s="38"/>
    </row>
    <row r="167" spans="3:12" s="38" customFormat="1" ht="14.25" thickBot="1" thickTop="1">
      <c r="C167" s="10"/>
      <c r="D167" s="6"/>
      <c r="E167" s="6" t="s">
        <v>75</v>
      </c>
      <c r="F167" s="6"/>
      <c r="G167" s="24">
        <v>100</v>
      </c>
      <c r="H167" s="12" t="s">
        <v>53</v>
      </c>
      <c r="L167" s="1"/>
    </row>
    <row r="168" spans="3:8" ht="13.5" thickTop="1">
      <c r="C168" s="10"/>
      <c r="D168" s="6"/>
      <c r="E168" s="6" t="s">
        <v>76</v>
      </c>
      <c r="F168" s="6"/>
      <c r="G168" s="11">
        <v>12</v>
      </c>
      <c r="H168" s="12" t="s">
        <v>56</v>
      </c>
    </row>
    <row r="169" spans="3:8" ht="12.75">
      <c r="C169" s="40"/>
      <c r="D169" s="41"/>
      <c r="E169" s="41" t="s">
        <v>83</v>
      </c>
      <c r="F169" s="41"/>
      <c r="G169" s="41">
        <f>+(G168*G167/100*1.09/1000)*$G$15</f>
        <v>78.48</v>
      </c>
      <c r="H169" s="42" t="s">
        <v>72</v>
      </c>
    </row>
    <row r="170" spans="3:8" ht="13.5" thickBot="1">
      <c r="C170" s="10"/>
      <c r="D170" s="6"/>
      <c r="E170" s="6"/>
      <c r="F170" s="6"/>
      <c r="G170" s="6"/>
      <c r="H170" s="12"/>
    </row>
    <row r="171" spans="3:8" ht="15.75" thickBot="1">
      <c r="C171" s="97" t="s">
        <v>55</v>
      </c>
      <c r="D171" s="98"/>
      <c r="E171" s="98"/>
      <c r="F171" s="98"/>
      <c r="G171" s="98"/>
      <c r="H171" s="99"/>
    </row>
    <row r="172" spans="3:8" ht="13.5" thickTop="1">
      <c r="C172" s="10"/>
      <c r="D172" s="6"/>
      <c r="E172" s="6" t="s">
        <v>54</v>
      </c>
      <c r="F172" s="6"/>
      <c r="G172" s="11">
        <v>41</v>
      </c>
      <c r="H172" s="12" t="s">
        <v>56</v>
      </c>
    </row>
    <row r="173" spans="3:8" ht="12.75">
      <c r="C173" s="40"/>
      <c r="D173" s="41"/>
      <c r="E173" s="41" t="s">
        <v>83</v>
      </c>
      <c r="F173" s="41"/>
      <c r="G173" s="41">
        <f>+G172*G15*1.09/1000</f>
        <v>268.14</v>
      </c>
      <c r="H173" s="42" t="s">
        <v>72</v>
      </c>
    </row>
    <row r="174" spans="3:8" ht="13.5" thickBot="1">
      <c r="C174" s="10"/>
      <c r="D174" s="6"/>
      <c r="E174" s="6"/>
      <c r="F174" s="6"/>
      <c r="G174" s="6"/>
      <c r="H174" s="12"/>
    </row>
    <row r="175" spans="2:8" ht="15.75" thickBot="1">
      <c r="B175" s="25"/>
      <c r="C175" s="97" t="s">
        <v>12</v>
      </c>
      <c r="D175" s="98"/>
      <c r="E175" s="98"/>
      <c r="F175" s="98"/>
      <c r="G175" s="98"/>
      <c r="H175" s="99"/>
    </row>
    <row r="176" spans="3:8" ht="13.5" thickTop="1">
      <c r="C176" s="35"/>
      <c r="D176" s="6" t="s">
        <v>97</v>
      </c>
      <c r="E176" s="41" t="s">
        <v>83</v>
      </c>
      <c r="F176" s="41"/>
      <c r="G176" s="11">
        <v>0</v>
      </c>
      <c r="H176" s="42" t="s">
        <v>72</v>
      </c>
    </row>
    <row r="177" spans="3:8" ht="13.5" thickBot="1">
      <c r="C177" s="35"/>
      <c r="D177" s="6"/>
      <c r="E177" s="6"/>
      <c r="F177" s="6"/>
      <c r="G177" s="6"/>
      <c r="H177" s="12"/>
    </row>
    <row r="178" spans="3:8" ht="13.5" thickTop="1">
      <c r="C178" s="35"/>
      <c r="D178" s="6" t="s">
        <v>98</v>
      </c>
      <c r="E178" s="103" t="s">
        <v>105</v>
      </c>
      <c r="F178" s="103"/>
      <c r="G178" s="24">
        <v>450</v>
      </c>
      <c r="H178" s="37" t="s">
        <v>6</v>
      </c>
    </row>
    <row r="179" spans="3:8" ht="12.75">
      <c r="C179" s="10"/>
      <c r="D179" s="6"/>
      <c r="E179" s="41" t="s">
        <v>83</v>
      </c>
      <c r="F179" s="41"/>
      <c r="G179" s="41">
        <f>G178/1000*G16</f>
        <v>207</v>
      </c>
      <c r="H179" s="42" t="s">
        <v>72</v>
      </c>
    </row>
    <row r="180" spans="3:8" ht="13.5" thickBot="1">
      <c r="C180" s="104"/>
      <c r="D180" s="105"/>
      <c r="E180" s="105"/>
      <c r="F180" s="105"/>
      <c r="G180" s="105"/>
      <c r="H180" s="106"/>
    </row>
    <row r="181" spans="2:8" ht="15.75" thickBot="1">
      <c r="B181" s="25"/>
      <c r="C181" s="97" t="s">
        <v>7</v>
      </c>
      <c r="D181" s="98"/>
      <c r="E181" s="98"/>
      <c r="F181" s="98"/>
      <c r="G181" s="98"/>
      <c r="H181" s="99"/>
    </row>
    <row r="182" spans="3:8" ht="13.5" thickTop="1">
      <c r="C182" s="10"/>
      <c r="D182" s="6" t="s">
        <v>97</v>
      </c>
      <c r="E182" s="41" t="s">
        <v>83</v>
      </c>
      <c r="F182" s="41"/>
      <c r="G182" s="11">
        <v>0</v>
      </c>
      <c r="H182" s="42" t="s">
        <v>72</v>
      </c>
    </row>
    <row r="183" spans="3:8" ht="13.5" thickBot="1">
      <c r="C183" s="10"/>
      <c r="D183" s="6"/>
      <c r="E183" s="6"/>
      <c r="F183" s="6"/>
      <c r="G183" s="6"/>
      <c r="H183" s="12"/>
    </row>
    <row r="184" spans="3:8" ht="13.5" thickTop="1">
      <c r="C184" s="10"/>
      <c r="D184" s="6" t="s">
        <v>98</v>
      </c>
      <c r="E184" s="103" t="s">
        <v>105</v>
      </c>
      <c r="F184" s="103"/>
      <c r="G184" s="24">
        <v>750</v>
      </c>
      <c r="H184" s="37" t="s">
        <v>6</v>
      </c>
    </row>
    <row r="185" spans="3:8" ht="12.75">
      <c r="C185" s="10"/>
      <c r="D185" s="6"/>
      <c r="E185" s="41" t="s">
        <v>83</v>
      </c>
      <c r="F185" s="41"/>
      <c r="G185" s="41">
        <f>G184/1000*G16</f>
        <v>345</v>
      </c>
      <c r="H185" s="42" t="s">
        <v>72</v>
      </c>
    </row>
    <row r="186" spans="3:12" ht="16.5" customHeight="1" thickBot="1">
      <c r="C186" s="18"/>
      <c r="D186" s="19"/>
      <c r="E186" s="19"/>
      <c r="F186" s="19"/>
      <c r="G186" s="19"/>
      <c r="H186" s="21"/>
      <c r="L186" s="3"/>
    </row>
    <row r="187" s="3" customFormat="1" ht="16.5" customHeight="1" thickBot="1">
      <c r="L187" s="1"/>
    </row>
    <row r="188" spans="2:8" ht="16.5" customHeight="1" thickBot="1">
      <c r="B188" s="57"/>
      <c r="C188" s="94" t="s">
        <v>25</v>
      </c>
      <c r="D188" s="95"/>
      <c r="E188" s="95"/>
      <c r="F188" s="95"/>
      <c r="G188" s="95"/>
      <c r="H188" s="96"/>
    </row>
    <row r="189" spans="3:8" ht="16.5" customHeight="1" thickBot="1">
      <c r="C189" s="97" t="s">
        <v>1</v>
      </c>
      <c r="D189" s="98" t="s">
        <v>1</v>
      </c>
      <c r="E189" s="98"/>
      <c r="F189" s="98"/>
      <c r="G189" s="98"/>
      <c r="H189" s="99"/>
    </row>
    <row r="190" spans="2:8" ht="16.5" customHeight="1" thickTop="1">
      <c r="B190" s="25"/>
      <c r="C190" s="10" t="s">
        <v>108</v>
      </c>
      <c r="D190" s="6"/>
      <c r="E190" s="6"/>
      <c r="F190" s="6"/>
      <c r="G190" s="24">
        <v>2000</v>
      </c>
      <c r="H190" s="12" t="s">
        <v>79</v>
      </c>
    </row>
    <row r="191" spans="3:8" ht="16.5" customHeight="1">
      <c r="C191" s="10"/>
      <c r="D191" s="6"/>
      <c r="E191" s="41" t="s">
        <v>93</v>
      </c>
      <c r="F191" s="41"/>
      <c r="G191" s="41">
        <f>G190*12/$G$12</f>
        <v>30</v>
      </c>
      <c r="H191" s="42" t="s">
        <v>72</v>
      </c>
    </row>
    <row r="192" spans="3:8" ht="16.5" customHeight="1" thickBot="1">
      <c r="C192" s="10"/>
      <c r="D192" s="6"/>
      <c r="E192" s="41"/>
      <c r="F192" s="41"/>
      <c r="G192" s="41"/>
      <c r="H192" s="42"/>
    </row>
    <row r="193" spans="2:8" ht="16.5" customHeight="1" thickTop="1">
      <c r="B193" s="25"/>
      <c r="C193" s="10" t="s">
        <v>78</v>
      </c>
      <c r="D193" s="6"/>
      <c r="E193" s="6"/>
      <c r="F193" s="6"/>
      <c r="G193" s="24">
        <v>6500</v>
      </c>
      <c r="H193" s="12" t="s">
        <v>79</v>
      </c>
    </row>
    <row r="194" spans="3:8" ht="16.5" customHeight="1">
      <c r="C194" s="10"/>
      <c r="D194" s="6"/>
      <c r="E194" s="41" t="s">
        <v>93</v>
      </c>
      <c r="F194" s="41"/>
      <c r="G194" s="41">
        <f>G193*12/$G$12</f>
        <v>97.5</v>
      </c>
      <c r="H194" s="42" t="s">
        <v>72</v>
      </c>
    </row>
    <row r="195" spans="3:8" ht="16.5" customHeight="1" thickBot="1">
      <c r="C195" s="10"/>
      <c r="D195" s="6"/>
      <c r="E195" s="41"/>
      <c r="F195" s="41"/>
      <c r="G195" s="41"/>
      <c r="H195" s="42"/>
    </row>
    <row r="196" spans="2:8" ht="16.5" customHeight="1" thickTop="1">
      <c r="B196" s="25"/>
      <c r="C196" s="10" t="s">
        <v>134</v>
      </c>
      <c r="D196" s="6"/>
      <c r="E196" s="6"/>
      <c r="F196" s="6"/>
      <c r="G196" s="24">
        <v>3200</v>
      </c>
      <c r="H196" s="12" t="s">
        <v>79</v>
      </c>
    </row>
    <row r="197" spans="3:12" ht="16.5" customHeight="1">
      <c r="C197" s="10"/>
      <c r="D197" s="6"/>
      <c r="E197" s="41" t="s">
        <v>93</v>
      </c>
      <c r="F197" s="41"/>
      <c r="G197" s="41">
        <f>G196*12/$G$12</f>
        <v>48</v>
      </c>
      <c r="H197" s="42" t="s">
        <v>72</v>
      </c>
      <c r="L197" s="38"/>
    </row>
    <row r="198" spans="3:12" s="38" customFormat="1" ht="16.5" customHeight="1">
      <c r="C198" s="10"/>
      <c r="D198" s="6"/>
      <c r="E198" s="41"/>
      <c r="F198" s="41"/>
      <c r="G198" s="41"/>
      <c r="H198" s="42"/>
      <c r="L198" s="1"/>
    </row>
    <row r="199" spans="3:8" ht="16.5" customHeight="1" thickBot="1">
      <c r="C199" s="10"/>
      <c r="D199" s="6"/>
      <c r="E199" s="6"/>
      <c r="F199" s="6"/>
      <c r="G199" s="6"/>
      <c r="H199" s="12"/>
    </row>
    <row r="200" spans="2:8" ht="16.5" customHeight="1">
      <c r="B200" s="25"/>
      <c r="C200" s="97" t="s">
        <v>17</v>
      </c>
      <c r="D200" s="98" t="s">
        <v>17</v>
      </c>
      <c r="E200" s="98"/>
      <c r="F200" s="98"/>
      <c r="G200" s="98"/>
      <c r="H200" s="99"/>
    </row>
    <row r="201" spans="3:8" ht="16.5" customHeight="1" thickBot="1">
      <c r="C201" s="10" t="s">
        <v>104</v>
      </c>
      <c r="D201" s="6"/>
      <c r="E201" s="6"/>
      <c r="F201" s="6"/>
      <c r="G201" s="6"/>
      <c r="H201" s="12"/>
    </row>
    <row r="202" spans="3:8" ht="16.5" customHeight="1" thickBot="1" thickTop="1">
      <c r="C202" s="10"/>
      <c r="D202" s="6"/>
      <c r="E202" s="6" t="s">
        <v>122</v>
      </c>
      <c r="F202" s="6"/>
      <c r="G202" s="24"/>
      <c r="H202" s="12" t="s">
        <v>123</v>
      </c>
    </row>
    <row r="203" spans="3:8" ht="16.5" customHeight="1" thickTop="1">
      <c r="C203" s="10"/>
      <c r="D203" s="6"/>
      <c r="E203" s="6" t="s">
        <v>125</v>
      </c>
      <c r="F203" s="6"/>
      <c r="G203" s="24">
        <v>10</v>
      </c>
      <c r="H203" s="12" t="s">
        <v>124</v>
      </c>
    </row>
    <row r="204" spans="3:8" ht="12.75">
      <c r="C204" s="10"/>
      <c r="D204" s="6"/>
      <c r="E204" s="41" t="s">
        <v>83</v>
      </c>
      <c r="F204" s="41"/>
      <c r="G204" s="41">
        <f>+G202/G203/G12</f>
        <v>0</v>
      </c>
      <c r="H204" s="42" t="s">
        <v>72</v>
      </c>
    </row>
    <row r="205" spans="2:8" ht="13.5" thickBot="1">
      <c r="B205" s="25"/>
      <c r="C205" s="10" t="s">
        <v>136</v>
      </c>
      <c r="D205" s="6"/>
      <c r="E205" s="41"/>
      <c r="F205" s="41"/>
      <c r="G205" s="41"/>
      <c r="H205" s="42"/>
    </row>
    <row r="206" spans="3:8" ht="14.25" thickBot="1" thickTop="1">
      <c r="C206" s="10"/>
      <c r="D206" s="6"/>
      <c r="E206" s="6" t="s">
        <v>122</v>
      </c>
      <c r="F206" s="6"/>
      <c r="G206" s="24">
        <v>100000</v>
      </c>
      <c r="H206" s="42" t="s">
        <v>123</v>
      </c>
    </row>
    <row r="207" spans="3:8" ht="13.5" thickTop="1">
      <c r="C207" s="10"/>
      <c r="D207" s="6"/>
      <c r="E207" s="6" t="s">
        <v>126</v>
      </c>
      <c r="F207" s="6"/>
      <c r="G207" s="24">
        <v>10</v>
      </c>
      <c r="H207" s="12" t="s">
        <v>124</v>
      </c>
    </row>
    <row r="208" spans="3:8" ht="12.75">
      <c r="C208" s="10"/>
      <c r="D208" s="6"/>
      <c r="E208" s="41" t="s">
        <v>83</v>
      </c>
      <c r="F208" s="41"/>
      <c r="G208" s="41">
        <f>+G206/G207/G12</f>
        <v>12.5</v>
      </c>
      <c r="H208" s="42" t="s">
        <v>72</v>
      </c>
    </row>
    <row r="209" spans="3:8" ht="12.75">
      <c r="C209" s="10"/>
      <c r="D209" s="6"/>
      <c r="E209" s="41"/>
      <c r="F209" s="41"/>
      <c r="G209" s="41"/>
      <c r="H209" s="42"/>
    </row>
    <row r="210" spans="2:8" ht="13.5" thickBot="1">
      <c r="B210" s="25"/>
      <c r="C210" s="10" t="s">
        <v>135</v>
      </c>
      <c r="D210" s="6"/>
      <c r="E210" s="41"/>
      <c r="F210" s="41"/>
      <c r="G210" s="41"/>
      <c r="H210" s="42"/>
    </row>
    <row r="211" spans="3:8" ht="14.25" thickBot="1" thickTop="1">
      <c r="C211" s="10"/>
      <c r="D211" s="6"/>
      <c r="E211" s="6" t="s">
        <v>122</v>
      </c>
      <c r="F211" s="6"/>
      <c r="G211" s="24">
        <v>224000</v>
      </c>
      <c r="H211" s="42" t="s">
        <v>123</v>
      </c>
    </row>
    <row r="212" spans="3:8" ht="13.5" thickTop="1">
      <c r="C212" s="10"/>
      <c r="D212" s="6"/>
      <c r="E212" s="6" t="s">
        <v>126</v>
      </c>
      <c r="F212" s="6"/>
      <c r="G212" s="24">
        <v>10</v>
      </c>
      <c r="H212" s="12" t="s">
        <v>124</v>
      </c>
    </row>
    <row r="213" spans="3:8" ht="12.75">
      <c r="C213" s="10"/>
      <c r="D213" s="6"/>
      <c r="E213" s="41" t="s">
        <v>83</v>
      </c>
      <c r="F213" s="41"/>
      <c r="G213" s="41">
        <f>+G211/G212/G12</f>
        <v>28</v>
      </c>
      <c r="H213" s="42" t="s">
        <v>72</v>
      </c>
    </row>
    <row r="214" spans="3:12" ht="16.5" customHeight="1" thickBot="1">
      <c r="C214" s="18"/>
      <c r="D214" s="19"/>
      <c r="E214" s="19"/>
      <c r="F214" s="19"/>
      <c r="G214" s="19"/>
      <c r="H214" s="21"/>
      <c r="L214" s="3"/>
    </row>
    <row r="215" spans="3:12" s="3" customFormat="1" ht="16.5" customHeight="1" thickBot="1">
      <c r="C215" s="30"/>
      <c r="D215" s="30"/>
      <c r="E215" s="30"/>
      <c r="F215" s="30"/>
      <c r="G215" s="30"/>
      <c r="H215" s="30"/>
      <c r="L215" s="1"/>
    </row>
    <row r="216" spans="3:8" ht="18.75" thickBot="1">
      <c r="C216" s="100" t="s">
        <v>111</v>
      </c>
      <c r="D216" s="101"/>
      <c r="E216" s="101"/>
      <c r="F216" s="101"/>
      <c r="G216" s="101"/>
      <c r="H216" s="102"/>
    </row>
    <row r="217" spans="3:8" ht="15.75" thickBot="1">
      <c r="C217" s="58" t="s">
        <v>21</v>
      </c>
      <c r="D217" s="59"/>
      <c r="E217" s="59"/>
      <c r="F217" s="59"/>
      <c r="G217" s="60" t="s">
        <v>8</v>
      </c>
      <c r="H217" s="61" t="s">
        <v>22</v>
      </c>
    </row>
    <row r="218" spans="3:8" ht="15">
      <c r="C218" s="62" t="s">
        <v>84</v>
      </c>
      <c r="D218" s="7"/>
      <c r="E218" s="7"/>
      <c r="F218" s="7"/>
      <c r="G218" s="63">
        <f>SUM(G222:G228,G219)</f>
        <v>2440.1180799999997</v>
      </c>
      <c r="H218" s="64">
        <f>G218/$G$234</f>
        <v>0.9186783141809719</v>
      </c>
    </row>
    <row r="219" spans="3:8" ht="12.75">
      <c r="C219" s="10" t="s">
        <v>10</v>
      </c>
      <c r="D219" s="6"/>
      <c r="E219" s="6"/>
      <c r="F219" s="6"/>
      <c r="G219" s="44">
        <f>F220+F221</f>
        <v>347.477</v>
      </c>
      <c r="H219" s="65">
        <f aca="true" t="shared" si="0" ref="H219:H234">G219/$G$234</f>
        <v>0.1308213677006408</v>
      </c>
    </row>
    <row r="220" spans="3:8" ht="12.75">
      <c r="C220" s="10" t="s">
        <v>11</v>
      </c>
      <c r="D220" s="6"/>
      <c r="E220" s="6"/>
      <c r="F220" s="66">
        <f>+G26+G30+G38+G42+G46+G50</f>
        <v>227.8</v>
      </c>
      <c r="G220" s="66"/>
      <c r="H220" s="67">
        <f>F220/$G$234</f>
        <v>0.08576425939617867</v>
      </c>
    </row>
    <row r="221" spans="3:8" ht="12.75">
      <c r="C221" s="10" t="s">
        <v>18</v>
      </c>
      <c r="D221" s="6"/>
      <c r="E221" s="6"/>
      <c r="F221" s="66">
        <f>+G58+G73+G80+G65</f>
        <v>119.67699999999999</v>
      </c>
      <c r="G221" s="66"/>
      <c r="H221" s="67">
        <f>F221/$G$234</f>
        <v>0.04505710830446213</v>
      </c>
    </row>
    <row r="222" spans="3:8" ht="12.75">
      <c r="C222" s="10" t="s">
        <v>0</v>
      </c>
      <c r="D222" s="6"/>
      <c r="E222" s="6"/>
      <c r="F222" s="6"/>
      <c r="G222" s="44">
        <f>+G85+G92+G96+G103+G110+G89</f>
        <v>580.23608</v>
      </c>
      <c r="H222" s="65">
        <f t="shared" si="0"/>
        <v>0.2184526675862242</v>
      </c>
    </row>
    <row r="223" spans="3:8" ht="12.75" customHeight="1">
      <c r="C223" s="10" t="s">
        <v>2</v>
      </c>
      <c r="D223" s="6"/>
      <c r="E223" s="6"/>
      <c r="F223" s="6"/>
      <c r="G223" s="44">
        <f>+G128+G131+G119</f>
        <v>408.05</v>
      </c>
      <c r="H223" s="65">
        <f t="shared" si="0"/>
        <v>0.15362645323358518</v>
      </c>
    </row>
    <row r="224" spans="3:8" ht="12.75">
      <c r="C224" s="10" t="s">
        <v>3</v>
      </c>
      <c r="D224" s="6"/>
      <c r="E224" s="6"/>
      <c r="F224" s="6"/>
      <c r="G224" s="44">
        <f>+G147+G149+G162+G164</f>
        <v>205.735</v>
      </c>
      <c r="H224" s="65">
        <f t="shared" si="0"/>
        <v>0.07745702329619324</v>
      </c>
    </row>
    <row r="225" spans="3:8" ht="12.75">
      <c r="C225" s="10" t="s">
        <v>9</v>
      </c>
      <c r="D225" s="6"/>
      <c r="E225" s="6"/>
      <c r="F225" s="6"/>
      <c r="G225" s="44">
        <f>+G169</f>
        <v>78.48</v>
      </c>
      <c r="H225" s="65">
        <f t="shared" si="0"/>
        <v>0.02954687918091353</v>
      </c>
    </row>
    <row r="226" spans="3:8" ht="12.75">
      <c r="C226" s="10" t="s">
        <v>4</v>
      </c>
      <c r="D226" s="6"/>
      <c r="E226" s="6"/>
      <c r="F226" s="6"/>
      <c r="G226" s="44">
        <f>+G173</f>
        <v>268.14</v>
      </c>
      <c r="H226" s="65">
        <f t="shared" si="0"/>
        <v>0.10095183720145454</v>
      </c>
    </row>
    <row r="227" spans="3:8" ht="12.75" customHeight="1">
      <c r="C227" s="10" t="s">
        <v>12</v>
      </c>
      <c r="D227" s="6"/>
      <c r="E227" s="6"/>
      <c r="F227" s="6"/>
      <c r="G227" s="44">
        <f>G176+G179</f>
        <v>207</v>
      </c>
      <c r="H227" s="65">
        <f t="shared" si="0"/>
        <v>0.07793328224323522</v>
      </c>
    </row>
    <row r="228" spans="3:8" ht="12.75">
      <c r="C228" s="10" t="s">
        <v>7</v>
      </c>
      <c r="D228" s="6"/>
      <c r="E228" s="6"/>
      <c r="F228" s="6"/>
      <c r="G228" s="44">
        <f>G182+G185</f>
        <v>345</v>
      </c>
      <c r="H228" s="65">
        <f t="shared" si="0"/>
        <v>0.12988880373872536</v>
      </c>
    </row>
    <row r="229" spans="3:8" ht="13.5" thickBot="1">
      <c r="C229" s="18"/>
      <c r="D229" s="19"/>
      <c r="E229" s="19"/>
      <c r="F229" s="19"/>
      <c r="G229" s="68"/>
      <c r="H229" s="69"/>
    </row>
    <row r="230" spans="3:12" ht="15.75">
      <c r="C230" s="62" t="s">
        <v>85</v>
      </c>
      <c r="D230" s="70"/>
      <c r="E230" s="70"/>
      <c r="F230" s="70"/>
      <c r="G230" s="63">
        <f>G231+G232</f>
        <v>216</v>
      </c>
      <c r="H230" s="64">
        <f t="shared" si="0"/>
        <v>0.08132168581902806</v>
      </c>
      <c r="L230" s="71"/>
    </row>
    <row r="231" spans="3:8" s="71" customFormat="1" ht="15.75">
      <c r="C231" s="10" t="s">
        <v>1</v>
      </c>
      <c r="D231" s="6"/>
      <c r="E231" s="6"/>
      <c r="F231" s="6"/>
      <c r="G231" s="44">
        <f>+G191+G194+G197</f>
        <v>175.5</v>
      </c>
      <c r="H231" s="65">
        <f t="shared" si="0"/>
        <v>0.0660738697279603</v>
      </c>
    </row>
    <row r="232" spans="3:12" s="71" customFormat="1" ht="15.75">
      <c r="C232" s="10" t="s">
        <v>17</v>
      </c>
      <c r="D232" s="6"/>
      <c r="E232" s="6"/>
      <c r="F232" s="6"/>
      <c r="G232" s="44">
        <f>G204+G208+G213</f>
        <v>40.5</v>
      </c>
      <c r="H232" s="65">
        <f t="shared" si="0"/>
        <v>0.01524781609106776</v>
      </c>
      <c r="L232" s="1"/>
    </row>
    <row r="233" spans="3:8" ht="13.5" thickBot="1">
      <c r="C233" s="18"/>
      <c r="D233" s="19"/>
      <c r="E233" s="19"/>
      <c r="F233" s="19"/>
      <c r="G233" s="68" t="s">
        <v>117</v>
      </c>
      <c r="H233" s="69"/>
    </row>
    <row r="234" spans="3:12" ht="16.5" thickBot="1">
      <c r="C234" s="72" t="s">
        <v>13</v>
      </c>
      <c r="D234" s="73"/>
      <c r="E234" s="73"/>
      <c r="F234" s="73"/>
      <c r="G234" s="73">
        <f>+G230+G218</f>
        <v>2656.1180799999997</v>
      </c>
      <c r="H234" s="74">
        <f t="shared" si="0"/>
        <v>1</v>
      </c>
      <c r="L234" s="71"/>
    </row>
    <row r="235" spans="3:12" s="71" customFormat="1" ht="18.75" thickBot="1">
      <c r="C235" s="88" t="s">
        <v>5</v>
      </c>
      <c r="D235" s="89"/>
      <c r="E235" s="89"/>
      <c r="F235" s="89"/>
      <c r="G235" s="89"/>
      <c r="H235" s="90"/>
      <c r="L235" s="1"/>
    </row>
    <row r="236" spans="3:12" ht="16.5" thickBot="1">
      <c r="C236" s="75" t="s">
        <v>21</v>
      </c>
      <c r="D236" s="76"/>
      <c r="E236" s="76"/>
      <c r="F236" s="91" t="s">
        <v>8</v>
      </c>
      <c r="G236" s="91"/>
      <c r="H236" s="77" t="s">
        <v>6</v>
      </c>
      <c r="L236" s="71"/>
    </row>
    <row r="237" spans="3:12" s="71" customFormat="1" ht="15.75">
      <c r="C237" s="78" t="s">
        <v>14</v>
      </c>
      <c r="D237" s="79"/>
      <c r="E237" s="79"/>
      <c r="F237" s="79">
        <f>+G17</f>
        <v>2760</v>
      </c>
      <c r="G237" s="79"/>
      <c r="H237" s="80">
        <f>G15</f>
        <v>6000</v>
      </c>
      <c r="L237" s="1"/>
    </row>
    <row r="238" spans="3:8" ht="15.75">
      <c r="C238" s="81" t="s">
        <v>23</v>
      </c>
      <c r="D238" s="82"/>
      <c r="E238" s="82"/>
      <c r="F238" s="82">
        <f>G234</f>
        <v>2656.1180799999997</v>
      </c>
      <c r="G238" s="82"/>
      <c r="H238" s="83"/>
    </row>
    <row r="239" spans="3:8" ht="12.75">
      <c r="C239" s="10"/>
      <c r="D239" s="6" t="s">
        <v>19</v>
      </c>
      <c r="E239" s="6"/>
      <c r="F239" s="6">
        <f>+F238-F240</f>
        <v>2104.1180799999997</v>
      </c>
      <c r="G239" s="6"/>
      <c r="H239" s="12">
        <f>F239*1000/G16</f>
        <v>4574.169739130434</v>
      </c>
    </row>
    <row r="240" spans="3:8" ht="12.75">
      <c r="C240" s="10"/>
      <c r="D240" s="6" t="s">
        <v>20</v>
      </c>
      <c r="E240" s="6"/>
      <c r="F240" s="6">
        <f>+H240/1000*G16</f>
        <v>552</v>
      </c>
      <c r="G240" s="6"/>
      <c r="H240" s="12">
        <f>+G178+G184</f>
        <v>1200</v>
      </c>
    </row>
    <row r="241" spans="3:8" ht="15.75">
      <c r="C241" s="81" t="s">
        <v>15</v>
      </c>
      <c r="D241" s="82"/>
      <c r="E241" s="82"/>
      <c r="F241" s="82">
        <f>F237-F238</f>
        <v>103.88192000000026</v>
      </c>
      <c r="G241" s="82"/>
      <c r="H241" s="83"/>
    </row>
    <row r="242" spans="3:8" ht="13.5" thickBot="1">
      <c r="C242" s="10"/>
      <c r="D242" s="6"/>
      <c r="E242" s="6"/>
      <c r="F242" s="6"/>
      <c r="G242" s="6"/>
      <c r="H242" s="12"/>
    </row>
    <row r="243" spans="2:8" ht="17.25" thickBot="1">
      <c r="B243" s="4"/>
      <c r="C243" s="84" t="s">
        <v>16</v>
      </c>
      <c r="D243" s="85"/>
      <c r="E243" s="85"/>
      <c r="F243" s="85"/>
      <c r="G243" s="85"/>
      <c r="H243" s="86">
        <f>(G219+G222+G223+G224+G227+G228+G230)/(G16/1000-(G168*G167/100*1.09/1000)-(G172*1.09/1000))</f>
        <v>5741.73502722323</v>
      </c>
    </row>
    <row r="244" spans="3:8" ht="16.5">
      <c r="C244" s="92" t="s">
        <v>138</v>
      </c>
      <c r="D244" s="93"/>
      <c r="E244" s="93"/>
      <c r="F244" s="93"/>
      <c r="G244" s="93"/>
      <c r="H244" s="93"/>
    </row>
    <row r="246" spans="4:8" ht="15.75">
      <c r="D246" s="87"/>
      <c r="E246" s="3"/>
      <c r="F246" s="3"/>
      <c r="G246" s="3"/>
      <c r="H246" s="3"/>
    </row>
    <row r="248" spans="4:8" ht="15.75">
      <c r="D248" s="87"/>
      <c r="E248" s="3"/>
      <c r="F248" s="3"/>
      <c r="G248" s="3"/>
      <c r="H248" s="3"/>
    </row>
    <row r="249" spans="4:8" ht="15.75">
      <c r="D249" s="87"/>
      <c r="E249" s="3"/>
      <c r="F249" s="3"/>
      <c r="G249" s="3"/>
      <c r="H249" s="3"/>
    </row>
    <row r="250" spans="4:8" ht="12.75">
      <c r="D250" s="3"/>
      <c r="E250" s="3"/>
      <c r="F250" s="3"/>
      <c r="G250" s="3"/>
      <c r="H250" s="3"/>
    </row>
  </sheetData>
  <sheetProtection/>
  <protectedRanges>
    <protectedRange sqref="G190 G193 G196 G202:G203 G206:G207 G211:G212" name="fijos"/>
    <protectedRange sqref="G24:G25 G28:G29 G32:G33 G36:G37 G40:G41 G44:G45 G48:G49 G114:H116 G118 G55:H55 G57 G184 G72 G77:G78 G83:G84 G88 G91 G95 G99:G102 G69:H70 G124:H125 G127 G136:H144 G146 G149 G64 G161 G164 G167:G168 G172 G176 G178 G182 G106:G109 G155:H159 G62:H62 G131" name="variavles"/>
    <protectedRange sqref="G8:G9 G11:G12 G15:G16" name="reff"/>
  </protectedRanges>
  <mergeCells count="47">
    <mergeCell ref="C7:H7"/>
    <mergeCell ref="C10:F11"/>
    <mergeCell ref="C14:H14"/>
    <mergeCell ref="C19:H19"/>
    <mergeCell ref="C20:H20"/>
    <mergeCell ref="C21:H21"/>
    <mergeCell ref="C23:H23"/>
    <mergeCell ref="C27:H27"/>
    <mergeCell ref="C31:H31"/>
    <mergeCell ref="C35:H35"/>
    <mergeCell ref="C39:H39"/>
    <mergeCell ref="C43:H43"/>
    <mergeCell ref="C47:H47"/>
    <mergeCell ref="C53:H53"/>
    <mergeCell ref="C60:H60"/>
    <mergeCell ref="C67:H67"/>
    <mergeCell ref="C75:H75"/>
    <mergeCell ref="C81:H81"/>
    <mergeCell ref="C82:H82"/>
    <mergeCell ref="C87:H87"/>
    <mergeCell ref="C98:H98"/>
    <mergeCell ref="C105:H105"/>
    <mergeCell ref="C111:H111"/>
    <mergeCell ref="C112:H112"/>
    <mergeCell ref="C121:H121"/>
    <mergeCell ref="C122:H122"/>
    <mergeCell ref="C130:H130"/>
    <mergeCell ref="C132:H132"/>
    <mergeCell ref="C133:H133"/>
    <mergeCell ref="C134:H134"/>
    <mergeCell ref="C148:H148"/>
    <mergeCell ref="C152:H152"/>
    <mergeCell ref="C163:H163"/>
    <mergeCell ref="C166:H166"/>
    <mergeCell ref="C171:H171"/>
    <mergeCell ref="C175:H175"/>
    <mergeCell ref="E178:F178"/>
    <mergeCell ref="C180:H180"/>
    <mergeCell ref="C181:H181"/>
    <mergeCell ref="E184:F184"/>
    <mergeCell ref="C235:H235"/>
    <mergeCell ref="F236:G236"/>
    <mergeCell ref="C244:H244"/>
    <mergeCell ref="C188:H188"/>
    <mergeCell ref="C189:H189"/>
    <mergeCell ref="C200:H200"/>
    <mergeCell ref="C216:H216"/>
  </mergeCells>
  <printOptions/>
  <pageMargins left="0.75" right="0.75" top="1" bottom="1" header="0" footer="0"/>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2007-06-05T12:46:53Z</dcterms:created>
  <dcterms:modified xsi:type="dcterms:W3CDTF">2007-06-05T13:16:45Z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